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F\حسابداری صندوق\5-پتروشیمی دماوند\عملیات حسابداری\گزارش پرتفوی\1404\10\"/>
    </mc:Choice>
  </mc:AlternateContent>
  <xr:revisionPtr revIDLastSave="0" documentId="13_ncr:1_{05B28309-B0F6-4ED7-9B2E-9BD9160AD5C0}" xr6:coauthVersionLast="47" xr6:coauthVersionMax="47" xr10:uidLastSave="{00000000-0000-0000-0000-000000000000}"/>
  <bookViews>
    <workbookView xWindow="-120" yWindow="-120" windowWidth="29040" windowHeight="15840" tabRatio="951" xr2:uid="{00000000-000D-0000-FFFF-FFFF00000000}"/>
  </bookViews>
  <sheets>
    <sheet name="صورت وضعیت پرتفوی" sheetId="22" r:id="rId1"/>
    <sheet name="سهام" sheetId="2" r:id="rId2"/>
    <sheet name="اوراق" sheetId="5" r:id="rId3"/>
    <sheet name="اوراق مشتقه" sheetId="26" r:id="rId4"/>
    <sheet name="سپرده" sheetId="7" r:id="rId5"/>
    <sheet name="درآمد" sheetId="8" r:id="rId6"/>
    <sheet name="درآمد سرمایه گذاری در سهام" sheetId="9" r:id="rId7"/>
    <sheet name="درآمد سرمایه گذاری در اوراق" sheetId="11" r:id="rId8"/>
    <sheet name="درآمد سپرده بانکی" sheetId="13" r:id="rId9"/>
    <sheet name="سایر درآمدها" sheetId="14" r:id="rId10"/>
    <sheet name="درآمد سود سهام" sheetId="15" r:id="rId11"/>
    <sheet name="سود اوراق بهادار" sheetId="17" r:id="rId12"/>
    <sheet name="سود سپرده بانکی" sheetId="18" r:id="rId13"/>
    <sheet name="درآمد ناشی از فروش" sheetId="19" r:id="rId14"/>
    <sheet name="درآمد اعمال اختیار" sheetId="20" r:id="rId15"/>
    <sheet name="درآمد ناشی از تغییر قیمت اوراق" sheetId="21" r:id="rId16"/>
    <sheet name="سود ترجیحی" sheetId="24" r:id="rId17"/>
  </sheets>
  <definedNames>
    <definedName name="_xlnm._FilterDatabase" localSheetId="10" hidden="1">'درآمد سود سهام'!$A$7:$S$7</definedName>
    <definedName name="_xlnm._FilterDatabase" localSheetId="1" hidden="1">سهام!$A$8:$AA$8</definedName>
    <definedName name="_xlnm.Print_Area" localSheetId="2">اوراق!$A$1:$AL$10</definedName>
    <definedName name="_xlnm.Print_Area" localSheetId="3">'اوراق مشتقه'!$A$1:$AX$9</definedName>
    <definedName name="_xlnm.Print_Area" localSheetId="5">درآمد!$A$1:$K$12</definedName>
    <definedName name="_xlnm.Print_Area" localSheetId="14">'درآمد اعمال اختیار'!$A$1:$M$50</definedName>
    <definedName name="_xlnm.Print_Area" localSheetId="8">'درآمد سپرده بانکی'!$A$1:$J$11</definedName>
    <definedName name="_xlnm.Print_Area" localSheetId="7">'درآمد سرمایه گذاری در اوراق'!$A$1:$R$12</definedName>
    <definedName name="_xlnm.Print_Area" localSheetId="6">'درآمد سرمایه گذاری در سهام'!$A$1:$V$119</definedName>
    <definedName name="_xlnm.Print_Area" localSheetId="10">'درآمد سود سهام'!$A$1:$T$42</definedName>
    <definedName name="_xlnm.Print_Area" localSheetId="15">'درآمد ناشی از تغییر قیمت اوراق'!$A$1:$Q$42</definedName>
    <definedName name="_xlnm.Print_Area" localSheetId="13">'درآمد ناشی از فروش'!$A$1:$Q$73</definedName>
    <definedName name="_xlnm.Print_Area" localSheetId="9">'سایر درآمدها'!$A$1:$F$10</definedName>
    <definedName name="_xlnm.Print_Area" localSheetId="4">سپرده!$A$1:$L$12</definedName>
    <definedName name="_xlnm.Print_Area" localSheetId="11">'سود اوراق بهادار'!$A$1:$R$10</definedName>
    <definedName name="_xlnm.Print_Area" localSheetId="16">'سود ترجیحی'!$A$1:$H$17</definedName>
    <definedName name="_xlnm.Print_Area" localSheetId="12">'سود سپرده بانکی'!$A$1:$N$12</definedName>
    <definedName name="_xlnm.Print_Area" localSheetId="1">سهام!$A$1:$Y$41</definedName>
  </definedNames>
  <calcPr calcId="191029"/>
</workbook>
</file>

<file path=xl/calcChain.xml><?xml version="1.0" encoding="utf-8"?>
<calcChain xmlns="http://schemas.openxmlformats.org/spreadsheetml/2006/main">
  <c r="I37" i="21" l="1"/>
  <c r="I38" i="21"/>
  <c r="K9" i="17"/>
  <c r="K8" i="17"/>
  <c r="Q9" i="17"/>
  <c r="Q8" i="17"/>
  <c r="I13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G11" i="11"/>
  <c r="E9" i="24"/>
  <c r="I40" i="21"/>
  <c r="I41" i="21"/>
  <c r="I39" i="21"/>
  <c r="E11" i="11" s="1"/>
  <c r="E118" i="9"/>
  <c r="I118" i="9" s="1"/>
  <c r="I9" i="21"/>
  <c r="I10" i="21"/>
  <c r="I11" i="21"/>
  <c r="I12" i="21"/>
  <c r="I13" i="21"/>
  <c r="I14" i="21"/>
  <c r="I15" i="21"/>
  <c r="I16" i="21"/>
  <c r="I17" i="21"/>
  <c r="I18" i="21"/>
  <c r="I19" i="21"/>
  <c r="I20" i="21"/>
  <c r="I21" i="21"/>
  <c r="I22" i="21"/>
  <c r="I23" i="21"/>
  <c r="I24" i="21"/>
  <c r="I25" i="21"/>
  <c r="I26" i="21"/>
  <c r="I27" i="21"/>
  <c r="I28" i="21"/>
  <c r="I29" i="21"/>
  <c r="I30" i="21"/>
  <c r="I31" i="21"/>
  <c r="I32" i="21"/>
  <c r="I33" i="21"/>
  <c r="I34" i="21"/>
  <c r="I35" i="21"/>
  <c r="I36" i="21"/>
  <c r="I8" i="21"/>
  <c r="I42" i="21" s="1"/>
  <c r="Q38" i="21"/>
  <c r="Q9" i="21"/>
  <c r="Q10" i="21"/>
  <c r="Q11" i="21"/>
  <c r="Q12" i="21"/>
  <c r="Q13" i="21"/>
  <c r="Q14" i="21"/>
  <c r="Q15" i="21"/>
  <c r="Q16" i="21"/>
  <c r="Q42" i="21" s="1"/>
  <c r="Q17" i="21"/>
  <c r="Q18" i="21"/>
  <c r="Q19" i="21"/>
  <c r="Q20" i="21"/>
  <c r="Q21" i="21"/>
  <c r="Q22" i="21"/>
  <c r="Q23" i="21"/>
  <c r="Q24" i="21"/>
  <c r="Q25" i="21"/>
  <c r="Q26" i="21"/>
  <c r="Q27" i="21"/>
  <c r="Q28" i="21"/>
  <c r="Q29" i="21"/>
  <c r="Q30" i="21"/>
  <c r="Q31" i="21"/>
  <c r="Q32" i="21"/>
  <c r="Q33" i="21"/>
  <c r="Q34" i="21"/>
  <c r="Q35" i="21"/>
  <c r="Q36" i="21"/>
  <c r="Q37" i="21"/>
  <c r="Q8" i="21"/>
  <c r="M42" i="21"/>
  <c r="K42" i="21"/>
  <c r="E42" i="21"/>
  <c r="C42" i="21"/>
  <c r="I71" i="19"/>
  <c r="I9" i="19"/>
  <c r="I10" i="19"/>
  <c r="I11" i="19"/>
  <c r="I12" i="19"/>
  <c r="I13" i="19"/>
  <c r="I73" i="19" s="1"/>
  <c r="I14" i="19"/>
  <c r="I15" i="19"/>
  <c r="I16" i="19"/>
  <c r="I17" i="19"/>
  <c r="I18" i="19"/>
  <c r="I19" i="19"/>
  <c r="I20" i="19"/>
  <c r="I21" i="19"/>
  <c r="I22" i="19"/>
  <c r="I23" i="19"/>
  <c r="I24" i="19"/>
  <c r="I25" i="19"/>
  <c r="I26" i="19"/>
  <c r="I27" i="19"/>
  <c r="I28" i="19"/>
  <c r="I29" i="19"/>
  <c r="I30" i="19"/>
  <c r="I31" i="19"/>
  <c r="I32" i="19"/>
  <c r="I33" i="19"/>
  <c r="I34" i="19"/>
  <c r="I35" i="19"/>
  <c r="I36" i="19"/>
  <c r="I37" i="19"/>
  <c r="I38" i="19"/>
  <c r="I39" i="19"/>
  <c r="I40" i="19"/>
  <c r="I41" i="19"/>
  <c r="I42" i="19"/>
  <c r="I43" i="19"/>
  <c r="I44" i="19"/>
  <c r="I45" i="19"/>
  <c r="I46" i="19"/>
  <c r="I47" i="19"/>
  <c r="I48" i="19"/>
  <c r="I49" i="19"/>
  <c r="I50" i="19"/>
  <c r="I51" i="19"/>
  <c r="I52" i="19"/>
  <c r="I53" i="19"/>
  <c r="I54" i="19"/>
  <c r="I55" i="19"/>
  <c r="I56" i="19"/>
  <c r="I57" i="19"/>
  <c r="I58" i="19"/>
  <c r="I59" i="19"/>
  <c r="I60" i="19"/>
  <c r="I61" i="19"/>
  <c r="I62" i="19"/>
  <c r="I63" i="19"/>
  <c r="I64" i="19"/>
  <c r="I65" i="19"/>
  <c r="I66" i="19"/>
  <c r="I67" i="19"/>
  <c r="I68" i="19"/>
  <c r="I69" i="19"/>
  <c r="I70" i="19"/>
  <c r="I72" i="19"/>
  <c r="I8" i="19"/>
  <c r="G73" i="19"/>
  <c r="Q9" i="19"/>
  <c r="Q73" i="19" s="1"/>
  <c r="Q10" i="19"/>
  <c r="Q11" i="19"/>
  <c r="Q12" i="19"/>
  <c r="Q13" i="19"/>
  <c r="Q14" i="19"/>
  <c r="Q15" i="19"/>
  <c r="Q16" i="19"/>
  <c r="Q17" i="19"/>
  <c r="Q18" i="19"/>
  <c r="Q19" i="19"/>
  <c r="Q20" i="19"/>
  <c r="Q21" i="19"/>
  <c r="Q22" i="19"/>
  <c r="Q23" i="19"/>
  <c r="Q24" i="19"/>
  <c r="Q25" i="19"/>
  <c r="Q26" i="19"/>
  <c r="Q27" i="19"/>
  <c r="Q28" i="19"/>
  <c r="Q29" i="19"/>
  <c r="Q30" i="19"/>
  <c r="Q31" i="19"/>
  <c r="Q32" i="19"/>
  <c r="Q33" i="19"/>
  <c r="Q34" i="19"/>
  <c r="Q35" i="19"/>
  <c r="Q36" i="19"/>
  <c r="Q37" i="19"/>
  <c r="Q38" i="19"/>
  <c r="Q39" i="19"/>
  <c r="Q40" i="19"/>
  <c r="Q41" i="19"/>
  <c r="Q42" i="19"/>
  <c r="Q43" i="19"/>
  <c r="Q44" i="19"/>
  <c r="Q45" i="19"/>
  <c r="Q46" i="19"/>
  <c r="Q47" i="19"/>
  <c r="Q48" i="19"/>
  <c r="Q49" i="19"/>
  <c r="Q50" i="19"/>
  <c r="Q51" i="19"/>
  <c r="Q52" i="19"/>
  <c r="Q53" i="19"/>
  <c r="Q54" i="19"/>
  <c r="Q55" i="19"/>
  <c r="Q56" i="19"/>
  <c r="Q57" i="19"/>
  <c r="Q58" i="19"/>
  <c r="Q59" i="19"/>
  <c r="Q60" i="19"/>
  <c r="Q61" i="19"/>
  <c r="Q62" i="19"/>
  <c r="Q63" i="19"/>
  <c r="Q64" i="19"/>
  <c r="Q65" i="19"/>
  <c r="Q66" i="19"/>
  <c r="Q67" i="19"/>
  <c r="Q68" i="19"/>
  <c r="Q69" i="19"/>
  <c r="Q70" i="19"/>
  <c r="Q71" i="19"/>
  <c r="Q72" i="19"/>
  <c r="O9" i="11" s="1"/>
  <c r="Q8" i="19"/>
  <c r="O73" i="19"/>
  <c r="M73" i="19"/>
  <c r="K73" i="19"/>
  <c r="E73" i="19"/>
  <c r="C73" i="19"/>
  <c r="G11" i="18"/>
  <c r="S9" i="15"/>
  <c r="S10" i="15"/>
  <c r="S11" i="15"/>
  <c r="S12" i="15"/>
  <c r="S13" i="15"/>
  <c r="S14" i="15"/>
  <c r="S15" i="15"/>
  <c r="S16" i="15"/>
  <c r="S17" i="15"/>
  <c r="S18" i="15"/>
  <c r="S19" i="15"/>
  <c r="S20" i="15"/>
  <c r="S21" i="15"/>
  <c r="S22" i="15"/>
  <c r="S23" i="15"/>
  <c r="S24" i="15"/>
  <c r="S25" i="15"/>
  <c r="S26" i="15"/>
  <c r="S27" i="15"/>
  <c r="S28" i="15"/>
  <c r="S29" i="15"/>
  <c r="S30" i="15"/>
  <c r="S31" i="15"/>
  <c r="S32" i="15"/>
  <c r="S33" i="15"/>
  <c r="S34" i="15"/>
  <c r="S35" i="15"/>
  <c r="S36" i="15"/>
  <c r="S37" i="15"/>
  <c r="S38" i="15"/>
  <c r="S39" i="15"/>
  <c r="S40" i="15"/>
  <c r="S41" i="15"/>
  <c r="S8" i="15"/>
  <c r="O42" i="15"/>
  <c r="A3" i="26"/>
  <c r="I8" i="7"/>
  <c r="I9" i="7"/>
  <c r="I10" i="7"/>
  <c r="I11" i="7"/>
  <c r="U10" i="5"/>
  <c r="W10" i="5"/>
  <c r="AC10" i="5"/>
  <c r="AG10" i="5"/>
  <c r="AI10" i="5"/>
  <c r="Y10" i="5"/>
  <c r="AA10" i="5"/>
  <c r="Y41" i="2"/>
  <c r="I41" i="2"/>
  <c r="K41" i="2"/>
  <c r="M41" i="2"/>
  <c r="O41" i="2"/>
  <c r="Q41" i="2"/>
  <c r="U41" i="2"/>
  <c r="W41" i="2"/>
  <c r="Y21" i="2"/>
  <c r="Y10" i="2"/>
  <c r="Y11" i="2"/>
  <c r="Y12" i="2"/>
  <c r="Y13" i="2"/>
  <c r="Y14" i="2"/>
  <c r="Y15" i="2"/>
  <c r="Y16" i="2"/>
  <c r="Y17" i="2"/>
  <c r="Y18" i="2"/>
  <c r="Y19" i="2"/>
  <c r="Y20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7" i="2"/>
  <c r="Y38" i="2"/>
  <c r="Y39" i="2"/>
  <c r="Y40" i="2"/>
  <c r="Y9" i="2"/>
  <c r="C41" i="2"/>
  <c r="G41" i="2"/>
  <c r="E41" i="2"/>
  <c r="M42" i="15"/>
  <c r="K42" i="15"/>
  <c r="I42" i="15"/>
  <c r="I12" i="7"/>
  <c r="G12" i="7"/>
  <c r="E12" i="7"/>
  <c r="C12" i="7"/>
  <c r="S42" i="15" l="1"/>
  <c r="Q42" i="15"/>
  <c r="G10" i="13"/>
  <c r="G9" i="13"/>
  <c r="G8" i="13"/>
  <c r="C10" i="13"/>
  <c r="C9" i="13"/>
  <c r="C8" i="13"/>
  <c r="C10" i="14"/>
  <c r="E10" i="14"/>
  <c r="F11" i="8" s="1"/>
  <c r="J11" i="8" s="1"/>
  <c r="G10" i="17"/>
  <c r="A1" i="21"/>
  <c r="A1" i="20"/>
  <c r="A1" i="19"/>
  <c r="A1" i="18"/>
  <c r="A1" i="17"/>
  <c r="A1" i="15"/>
  <c r="A1" i="14"/>
  <c r="A1" i="13"/>
  <c r="A1" i="11"/>
  <c r="A1" i="9"/>
  <c r="A1" i="8"/>
  <c r="A1" i="7"/>
  <c r="A1" i="5"/>
  <c r="K9" i="7"/>
  <c r="K10" i="7"/>
  <c r="K11" i="7"/>
  <c r="K8" i="7"/>
  <c r="K12" i="7" s="1"/>
  <c r="AK9" i="5"/>
  <c r="AK10" i="5" s="1"/>
  <c r="Q34" i="9" l="1"/>
  <c r="Q58" i="9"/>
  <c r="S58" i="9" s="1"/>
  <c r="G67" i="9"/>
  <c r="I67" i="9" s="1"/>
  <c r="G22" i="9"/>
  <c r="I22" i="9" s="1"/>
  <c r="Q70" i="9"/>
  <c r="S70" i="9" s="1"/>
  <c r="G70" i="9"/>
  <c r="I70" i="9" s="1"/>
  <c r="G71" i="9"/>
  <c r="I71" i="9" s="1"/>
  <c r="Q25" i="9"/>
  <c r="Q47" i="9"/>
  <c r="G46" i="9"/>
  <c r="G9" i="9"/>
  <c r="I9" i="9" s="1"/>
  <c r="G33" i="9"/>
  <c r="G50" i="9"/>
  <c r="G62" i="9"/>
  <c r="I62" i="9" s="1"/>
  <c r="G39" i="9"/>
  <c r="I39" i="9" s="1"/>
  <c r="G51" i="9"/>
  <c r="I51" i="9" s="1"/>
  <c r="G40" i="9"/>
  <c r="G52" i="9"/>
  <c r="G29" i="9"/>
  <c r="I29" i="9" s="1"/>
  <c r="G41" i="9"/>
  <c r="Q84" i="9"/>
  <c r="S84" i="9" s="1"/>
  <c r="Q96" i="9"/>
  <c r="S96" i="9" s="1"/>
  <c r="Q113" i="9"/>
  <c r="S113" i="9" s="1"/>
  <c r="Q99" i="9"/>
  <c r="S99" i="9" s="1"/>
  <c r="Q92" i="9"/>
  <c r="S92" i="9" s="1"/>
  <c r="Q104" i="9"/>
  <c r="S104" i="9" s="1"/>
  <c r="M26" i="9"/>
  <c r="M38" i="9"/>
  <c r="M32" i="9"/>
  <c r="M21" i="9"/>
  <c r="M12" i="9"/>
  <c r="M24" i="9"/>
  <c r="L11" i="8"/>
  <c r="M11" i="8"/>
  <c r="O50" i="9"/>
  <c r="E19" i="9"/>
  <c r="E43" i="9"/>
  <c r="O19" i="9"/>
  <c r="O40" i="9"/>
  <c r="E75" i="9"/>
  <c r="I75" i="9" s="1"/>
  <c r="O41" i="9"/>
  <c r="E73" i="9"/>
  <c r="I73" i="9" s="1"/>
  <c r="O45" i="9"/>
  <c r="O118" i="9"/>
  <c r="S118" i="9" s="1"/>
  <c r="E32" i="9"/>
  <c r="E15" i="9"/>
  <c r="E36" i="9"/>
  <c r="E49" i="9"/>
  <c r="E16" i="9"/>
  <c r="E37" i="9"/>
  <c r="E17" i="9"/>
  <c r="E38" i="9"/>
  <c r="E52" i="9"/>
  <c r="O12" i="11"/>
  <c r="A3" i="24"/>
  <c r="A3" i="21"/>
  <c r="E40" i="9" s="1"/>
  <c r="A3" i="20"/>
  <c r="Q108" i="9" s="1"/>
  <c r="S108" i="9" s="1"/>
  <c r="A3" i="19"/>
  <c r="Q19" i="9" s="1"/>
  <c r="A3" i="18"/>
  <c r="A3" i="17"/>
  <c r="C11" i="11" s="1"/>
  <c r="A3" i="15"/>
  <c r="M17" i="9" s="1"/>
  <c r="A3" i="14"/>
  <c r="A3" i="13"/>
  <c r="A3" i="11"/>
  <c r="A3" i="9"/>
  <c r="A3" i="8"/>
  <c r="A3" i="7"/>
  <c r="A3" i="5"/>
  <c r="M10" i="17"/>
  <c r="I40" i="9" l="1"/>
  <c r="O49" i="9"/>
  <c r="O47" i="9"/>
  <c r="S47" i="9" s="1"/>
  <c r="O26" i="9"/>
  <c r="E45" i="9"/>
  <c r="O20" i="9"/>
  <c r="O37" i="9"/>
  <c r="M9" i="9"/>
  <c r="M20" i="9"/>
  <c r="M14" i="9"/>
  <c r="Q80" i="9"/>
  <c r="S80" i="9" s="1"/>
  <c r="Q101" i="9"/>
  <c r="S101" i="9" s="1"/>
  <c r="Q110" i="9"/>
  <c r="S110" i="9" s="1"/>
  <c r="G17" i="9"/>
  <c r="I17" i="9" s="1"/>
  <c r="G28" i="9"/>
  <c r="I28" i="9" s="1"/>
  <c r="G27" i="9"/>
  <c r="G38" i="9"/>
  <c r="G61" i="9"/>
  <c r="I61" i="9" s="1"/>
  <c r="G57" i="9"/>
  <c r="I57" i="9" s="1"/>
  <c r="G59" i="9"/>
  <c r="I59" i="9" s="1"/>
  <c r="G68" i="9"/>
  <c r="I68" i="9" s="1"/>
  <c r="G55" i="9"/>
  <c r="I55" i="9" s="1"/>
  <c r="G66" i="9"/>
  <c r="I66" i="9" s="1"/>
  <c r="O32" i="9"/>
  <c r="O74" i="9"/>
  <c r="S74" i="9" s="1"/>
  <c r="E26" i="9"/>
  <c r="E41" i="9"/>
  <c r="I41" i="9" s="1"/>
  <c r="O16" i="9"/>
  <c r="M35" i="9"/>
  <c r="M31" i="9"/>
  <c r="Q111" i="9"/>
  <c r="S111" i="9" s="1"/>
  <c r="Q115" i="9"/>
  <c r="S115" i="9" s="1"/>
  <c r="Q89" i="9"/>
  <c r="S89" i="9" s="1"/>
  <c r="Q98" i="9"/>
  <c r="S98" i="9" s="1"/>
  <c r="Q66" i="9"/>
  <c r="S66" i="9" s="1"/>
  <c r="G16" i="9"/>
  <c r="I16" i="9" s="1"/>
  <c r="G15" i="9"/>
  <c r="I15" i="9" s="1"/>
  <c r="G26" i="9"/>
  <c r="G49" i="9"/>
  <c r="G60" i="9"/>
  <c r="I60" i="9" s="1"/>
  <c r="G47" i="9"/>
  <c r="G56" i="9"/>
  <c r="I56" i="9" s="1"/>
  <c r="G43" i="9"/>
  <c r="G54" i="9"/>
  <c r="I54" i="9" s="1"/>
  <c r="O15" i="9"/>
  <c r="E25" i="9"/>
  <c r="E76" i="9"/>
  <c r="I76" i="9" s="1"/>
  <c r="O75" i="9"/>
  <c r="S75" i="9" s="1"/>
  <c r="E20" i="9"/>
  <c r="M23" i="9"/>
  <c r="M19" i="9"/>
  <c r="S19" i="9" s="1"/>
  <c r="Q106" i="9"/>
  <c r="S106" i="9" s="1"/>
  <c r="Q103" i="9"/>
  <c r="S103" i="9" s="1"/>
  <c r="Q112" i="9"/>
  <c r="S112" i="9" s="1"/>
  <c r="Q77" i="9"/>
  <c r="S77" i="9" s="1"/>
  <c r="Q54" i="9"/>
  <c r="S54" i="9" s="1"/>
  <c r="Q9" i="9"/>
  <c r="Q15" i="9"/>
  <c r="G14" i="9"/>
  <c r="I14" i="9" s="1"/>
  <c r="G37" i="9"/>
  <c r="I37" i="9" s="1"/>
  <c r="G48" i="9"/>
  <c r="G35" i="9"/>
  <c r="I35" i="9" s="1"/>
  <c r="G44" i="9"/>
  <c r="G31" i="9"/>
  <c r="I31" i="9" s="1"/>
  <c r="G42" i="9"/>
  <c r="O36" i="9"/>
  <c r="E50" i="9"/>
  <c r="I50" i="9" s="1"/>
  <c r="E48" i="9"/>
  <c r="I48" i="9" s="1"/>
  <c r="E46" i="9"/>
  <c r="I46" i="9" s="1"/>
  <c r="O43" i="9"/>
  <c r="O52" i="9"/>
  <c r="M11" i="9"/>
  <c r="M40" i="9"/>
  <c r="Q94" i="9"/>
  <c r="S94" i="9" s="1"/>
  <c r="Q91" i="9"/>
  <c r="S91" i="9" s="1"/>
  <c r="Q100" i="9"/>
  <c r="S100" i="9" s="1"/>
  <c r="Q107" i="9"/>
  <c r="S107" i="9" s="1"/>
  <c r="Q42" i="9"/>
  <c r="Q65" i="9"/>
  <c r="S65" i="9" s="1"/>
  <c r="Q64" i="9"/>
  <c r="S64" i="9" s="1"/>
  <c r="Q14" i="9"/>
  <c r="G25" i="9"/>
  <c r="G36" i="9"/>
  <c r="I36" i="9" s="1"/>
  <c r="G23" i="9"/>
  <c r="I23" i="9" s="1"/>
  <c r="G32" i="9"/>
  <c r="I32" i="9" s="1"/>
  <c r="G19" i="9"/>
  <c r="I19" i="9" s="1"/>
  <c r="G30" i="9"/>
  <c r="I30" i="9" s="1"/>
  <c r="E33" i="9"/>
  <c r="I33" i="9" s="1"/>
  <c r="E27" i="9"/>
  <c r="O24" i="9"/>
  <c r="O38" i="9"/>
  <c r="M34" i="9"/>
  <c r="S34" i="9" s="1"/>
  <c r="M28" i="9"/>
  <c r="Q82" i="9"/>
  <c r="S82" i="9" s="1"/>
  <c r="Q79" i="9"/>
  <c r="S79" i="9" s="1"/>
  <c r="Q88" i="9"/>
  <c r="S88" i="9" s="1"/>
  <c r="Q95" i="9"/>
  <c r="S95" i="9" s="1"/>
  <c r="Q30" i="9"/>
  <c r="Q53" i="9"/>
  <c r="S53" i="9" s="1"/>
  <c r="Q52" i="9"/>
  <c r="Q63" i="9"/>
  <c r="S63" i="9" s="1"/>
  <c r="G12" i="9"/>
  <c r="I12" i="9" s="1"/>
  <c r="G24" i="9"/>
  <c r="G10" i="9"/>
  <c r="I10" i="9" s="1"/>
  <c r="G20" i="9"/>
  <c r="Q68" i="9"/>
  <c r="S68" i="9" s="1"/>
  <c r="G18" i="9"/>
  <c r="I18" i="9" s="1"/>
  <c r="I38" i="9"/>
  <c r="O46" i="9"/>
  <c r="O76" i="9"/>
  <c r="S76" i="9" s="1"/>
  <c r="E72" i="9"/>
  <c r="I72" i="9" s="1"/>
  <c r="O17" i="9"/>
  <c r="M37" i="9"/>
  <c r="M22" i="9"/>
  <c r="M39" i="9"/>
  <c r="Q117" i="9"/>
  <c r="S117" i="9" s="1"/>
  <c r="Q87" i="9"/>
  <c r="S87" i="9" s="1"/>
  <c r="Q86" i="9"/>
  <c r="S86" i="9" s="1"/>
  <c r="Q83" i="9"/>
  <c r="S83" i="9" s="1"/>
  <c r="Q18" i="9"/>
  <c r="Q41" i="9"/>
  <c r="Q40" i="9"/>
  <c r="Q51" i="9"/>
  <c r="S51" i="9" s="1"/>
  <c r="Q12" i="9"/>
  <c r="S12" i="9" s="1"/>
  <c r="G11" i="9"/>
  <c r="I11" i="9" s="1"/>
  <c r="Q10" i="9"/>
  <c r="Q69" i="9"/>
  <c r="S69" i="9" s="1"/>
  <c r="Q56" i="9"/>
  <c r="S56" i="9" s="1"/>
  <c r="Q67" i="9"/>
  <c r="S67" i="9" s="1"/>
  <c r="S45" i="9"/>
  <c r="O48" i="9"/>
  <c r="O27" i="9"/>
  <c r="O44" i="9"/>
  <c r="E42" i="9"/>
  <c r="E44" i="9"/>
  <c r="I44" i="9" s="1"/>
  <c r="M25" i="9"/>
  <c r="M10" i="9"/>
  <c r="M27" i="9"/>
  <c r="Q105" i="9"/>
  <c r="S105" i="9" s="1"/>
  <c r="Q114" i="9"/>
  <c r="S114" i="9" s="1"/>
  <c r="Q109" i="9"/>
  <c r="S109" i="9" s="1"/>
  <c r="G58" i="9"/>
  <c r="I58" i="9" s="1"/>
  <c r="G34" i="9"/>
  <c r="I34" i="9" s="1"/>
  <c r="Q29" i="9"/>
  <c r="Q28" i="9"/>
  <c r="Q39" i="9"/>
  <c r="Q62" i="9"/>
  <c r="S62" i="9" s="1"/>
  <c r="Q11" i="9"/>
  <c r="Q60" i="9"/>
  <c r="S60" i="9" s="1"/>
  <c r="Q57" i="9"/>
  <c r="S57" i="9" s="1"/>
  <c r="Q44" i="9"/>
  <c r="Q55" i="9"/>
  <c r="S55" i="9" s="1"/>
  <c r="I43" i="9"/>
  <c r="O33" i="9"/>
  <c r="E74" i="9"/>
  <c r="I74" i="9" s="1"/>
  <c r="O25" i="9"/>
  <c r="E21" i="9"/>
  <c r="E24" i="9"/>
  <c r="I24" i="9" s="1"/>
  <c r="M13" i="9"/>
  <c r="S13" i="9" s="1"/>
  <c r="M30" i="9"/>
  <c r="S30" i="9" s="1"/>
  <c r="M15" i="9"/>
  <c r="Q93" i="9"/>
  <c r="S93" i="9" s="1"/>
  <c r="Q102" i="9"/>
  <c r="S102" i="9" s="1"/>
  <c r="Q97" i="9"/>
  <c r="S97" i="9" s="1"/>
  <c r="G21" i="9"/>
  <c r="Q59" i="9"/>
  <c r="S59" i="9" s="1"/>
  <c r="Q17" i="9"/>
  <c r="Q16" i="9"/>
  <c r="Q27" i="9"/>
  <c r="Q50" i="9"/>
  <c r="S50" i="9" s="1"/>
  <c r="Q61" i="9"/>
  <c r="S61" i="9" s="1"/>
  <c r="Q48" i="9"/>
  <c r="Q45" i="9"/>
  <c r="Q32" i="9"/>
  <c r="Q43" i="9"/>
  <c r="O21" i="9"/>
  <c r="E47" i="9"/>
  <c r="I47" i="9" s="1"/>
  <c r="O42" i="9"/>
  <c r="S42" i="9" s="1"/>
  <c r="O72" i="9"/>
  <c r="S72" i="9" s="1"/>
  <c r="O73" i="9"/>
  <c r="S73" i="9" s="1"/>
  <c r="M18" i="9"/>
  <c r="S18" i="9" s="1"/>
  <c r="M29" i="9"/>
  <c r="S29" i="9" s="1"/>
  <c r="M41" i="9"/>
  <c r="S41" i="9" s="1"/>
  <c r="Q81" i="9"/>
  <c r="S81" i="9" s="1"/>
  <c r="Q90" i="9"/>
  <c r="S90" i="9" s="1"/>
  <c r="Q85" i="9"/>
  <c r="S85" i="9" s="1"/>
  <c r="G65" i="9"/>
  <c r="I65" i="9" s="1"/>
  <c r="Q23" i="9"/>
  <c r="Q46" i="9"/>
  <c r="Q35" i="9"/>
  <c r="Q71" i="9"/>
  <c r="S71" i="9" s="1"/>
  <c r="Q38" i="9"/>
  <c r="Q49" i="9"/>
  <c r="Q36" i="9"/>
  <c r="Q33" i="9"/>
  <c r="Q20" i="9"/>
  <c r="Q31" i="9"/>
  <c r="I52" i="9"/>
  <c r="I49" i="9"/>
  <c r="M36" i="9"/>
  <c r="M33" i="9"/>
  <c r="Q116" i="9"/>
  <c r="S116" i="9" s="1"/>
  <c r="Q78" i="9"/>
  <c r="S78" i="9" s="1"/>
  <c r="G53" i="9"/>
  <c r="I53" i="9" s="1"/>
  <c r="G64" i="9"/>
  <c r="I64" i="9" s="1"/>
  <c r="G63" i="9"/>
  <c r="I63" i="9" s="1"/>
  <c r="Q22" i="9"/>
  <c r="G69" i="9"/>
  <c r="I69" i="9" s="1"/>
  <c r="Q26" i="9"/>
  <c r="Q37" i="9"/>
  <c r="Q24" i="9"/>
  <c r="Q21" i="9"/>
  <c r="G45" i="9"/>
  <c r="C10" i="11"/>
  <c r="I11" i="11"/>
  <c r="K11" i="11"/>
  <c r="K10" i="11"/>
  <c r="F10" i="24"/>
  <c r="E10" i="24"/>
  <c r="D10" i="24"/>
  <c r="A1" i="24"/>
  <c r="S33" i="9" l="1"/>
  <c r="S24" i="9"/>
  <c r="S32" i="9"/>
  <c r="S26" i="9"/>
  <c r="S25" i="9"/>
  <c r="S36" i="9"/>
  <c r="S21" i="9"/>
  <c r="S28" i="9"/>
  <c r="I25" i="9"/>
  <c r="S14" i="9"/>
  <c r="S22" i="9"/>
  <c r="S38" i="9"/>
  <c r="S37" i="9"/>
  <c r="S17" i="9"/>
  <c r="I27" i="9"/>
  <c r="S31" i="9"/>
  <c r="S44" i="9"/>
  <c r="I21" i="9"/>
  <c r="S40" i="9"/>
  <c r="S20" i="9"/>
  <c r="S11" i="9"/>
  <c r="S23" i="9"/>
  <c r="S35" i="9"/>
  <c r="S52" i="9"/>
  <c r="I20" i="9"/>
  <c r="S16" i="9"/>
  <c r="S48" i="9"/>
  <c r="S46" i="9"/>
  <c r="S43" i="9"/>
  <c r="I45" i="9"/>
  <c r="I26" i="9"/>
  <c r="I42" i="9"/>
  <c r="Q119" i="9"/>
  <c r="S49" i="9"/>
  <c r="S15" i="9"/>
  <c r="S27" i="9"/>
  <c r="S10" i="9"/>
  <c r="S39" i="9"/>
  <c r="M119" i="9"/>
  <c r="S9" i="9"/>
  <c r="O119" i="9"/>
  <c r="E119" i="9"/>
  <c r="G119" i="9"/>
  <c r="C119" i="9"/>
  <c r="M12" i="11"/>
  <c r="I9" i="11"/>
  <c r="C11" i="13"/>
  <c r="G11" i="13"/>
  <c r="F10" i="8" s="1"/>
  <c r="J10" i="8" s="1"/>
  <c r="E9" i="13"/>
  <c r="E8" i="13"/>
  <c r="D50" i="20"/>
  <c r="H50" i="20"/>
  <c r="F50" i="20"/>
  <c r="J50" i="20"/>
  <c r="L50" i="20"/>
  <c r="M11" i="18"/>
  <c r="K11" i="18"/>
  <c r="I11" i="18"/>
  <c r="E11" i="18"/>
  <c r="C11" i="18"/>
  <c r="Q10" i="17"/>
  <c r="O10" i="17"/>
  <c r="I10" i="17"/>
  <c r="S119" i="9" l="1"/>
  <c r="F8" i="8" s="1"/>
  <c r="L10" i="8"/>
  <c r="M10" i="8"/>
  <c r="I119" i="9"/>
  <c r="I8" i="13"/>
  <c r="I10" i="13"/>
  <c r="E10" i="13"/>
  <c r="E11" i="13" s="1"/>
  <c r="I9" i="13"/>
  <c r="K10" i="17"/>
  <c r="Q10" i="11"/>
  <c r="C12" i="11"/>
  <c r="I10" i="11"/>
  <c r="E12" i="11"/>
  <c r="Q11" i="11"/>
  <c r="G12" i="11"/>
  <c r="Q9" i="11"/>
  <c r="L8" i="8" l="1"/>
  <c r="M8" i="8"/>
  <c r="J8" i="8"/>
  <c r="Q12" i="11"/>
  <c r="F9" i="8" s="1"/>
  <c r="F12" i="8" s="1"/>
  <c r="I12" i="11"/>
  <c r="I11" i="13"/>
  <c r="K12" i="11"/>
  <c r="J9" i="8" l="1"/>
  <c r="L9" i="8"/>
  <c r="L12" i="8" s="1"/>
  <c r="M9" i="8"/>
  <c r="M12" i="8" s="1"/>
  <c r="H8" i="8"/>
  <c r="U98" i="9"/>
  <c r="U99" i="9"/>
  <c r="U100" i="9"/>
  <c r="U114" i="9"/>
  <c r="U85" i="9"/>
  <c r="U102" i="9"/>
  <c r="U86" i="9"/>
  <c r="U87" i="9"/>
  <c r="U89" i="9"/>
  <c r="U111" i="9"/>
  <c r="U88" i="9"/>
  <c r="U109" i="9"/>
  <c r="U90" i="9"/>
  <c r="U112" i="9"/>
  <c r="U93" i="9"/>
  <c r="U113" i="9"/>
  <c r="U72" i="9"/>
  <c r="U97" i="9"/>
  <c r="U78" i="9"/>
  <c r="U77" i="9"/>
  <c r="U76" i="9"/>
  <c r="U74" i="9"/>
  <c r="U95" i="9"/>
  <c r="U118" i="9"/>
  <c r="U101" i="9"/>
  <c r="U83" i="9"/>
  <c r="U117" i="9"/>
  <c r="U104" i="9"/>
  <c r="U81" i="9"/>
  <c r="U75" i="9"/>
  <c r="U106" i="9"/>
  <c r="U107" i="9"/>
  <c r="U108" i="9"/>
  <c r="U92" i="9"/>
  <c r="U73" i="9"/>
  <c r="U94" i="9"/>
  <c r="U96" i="9"/>
  <c r="U110" i="9"/>
  <c r="U91" i="9"/>
  <c r="U82" i="9"/>
  <c r="U116" i="9"/>
  <c r="U80" i="9"/>
  <c r="U105" i="9"/>
  <c r="U84" i="9"/>
  <c r="U79" i="9"/>
  <c r="U103" i="9"/>
  <c r="U115" i="9"/>
  <c r="U47" i="9"/>
  <c r="U64" i="9"/>
  <c r="U49" i="9"/>
  <c r="U69" i="9"/>
  <c r="U65" i="9"/>
  <c r="U70" i="9"/>
  <c r="U50" i="9"/>
  <c r="U45" i="9"/>
  <c r="U54" i="9"/>
  <c r="U55" i="9"/>
  <c r="U58" i="9"/>
  <c r="U18" i="9"/>
  <c r="U59" i="9"/>
  <c r="U60" i="9"/>
  <c r="U43" i="9"/>
  <c r="U51" i="9"/>
  <c r="U67" i="9"/>
  <c r="U48" i="9"/>
  <c r="U57" i="9"/>
  <c r="U71" i="9"/>
  <c r="U62" i="9"/>
  <c r="U46" i="9"/>
  <c r="U44" i="9"/>
  <c r="U66" i="9"/>
  <c r="U61" i="9"/>
  <c r="U52" i="9"/>
  <c r="U41" i="9"/>
  <c r="U68" i="9"/>
  <c r="U63" i="9"/>
  <c r="U56" i="9"/>
  <c r="U31" i="9"/>
  <c r="U40" i="9"/>
  <c r="U36" i="9"/>
  <c r="U29" i="9"/>
  <c r="U37" i="9"/>
  <c r="U22" i="9"/>
  <c r="U11" i="9"/>
  <c r="U24" i="9"/>
  <c r="U53" i="9"/>
  <c r="U39" i="9"/>
  <c r="U14" i="9"/>
  <c r="U21" i="9"/>
  <c r="U35" i="9"/>
  <c r="U15" i="9"/>
  <c r="U25" i="9"/>
  <c r="U32" i="9"/>
  <c r="U23" i="9"/>
  <c r="U26" i="9"/>
  <c r="U19" i="9"/>
  <c r="U38" i="9"/>
  <c r="U28" i="9"/>
  <c r="U16" i="9"/>
  <c r="U13" i="9"/>
  <c r="U33" i="9"/>
  <c r="U42" i="9"/>
  <c r="U27" i="9"/>
  <c r="U17" i="9"/>
  <c r="U12" i="9"/>
  <c r="U10" i="9"/>
  <c r="U30" i="9"/>
  <c r="U20" i="9"/>
  <c r="U34" i="9"/>
  <c r="U9" i="9"/>
  <c r="L14" i="8"/>
  <c r="M15" i="8" l="1"/>
  <c r="K106" i="9"/>
  <c r="K103" i="9"/>
  <c r="K99" i="9"/>
  <c r="K96" i="9"/>
  <c r="K116" i="9"/>
  <c r="K94" i="9"/>
  <c r="K91" i="9"/>
  <c r="K110" i="9"/>
  <c r="K84" i="9"/>
  <c r="K82" i="9"/>
  <c r="K79" i="9"/>
  <c r="K98" i="9"/>
  <c r="K112" i="9"/>
  <c r="K117" i="9"/>
  <c r="K102" i="9"/>
  <c r="K86" i="9"/>
  <c r="K108" i="9"/>
  <c r="K105" i="9"/>
  <c r="K101" i="9"/>
  <c r="K78" i="9"/>
  <c r="K107" i="9"/>
  <c r="K97" i="9"/>
  <c r="K93" i="9"/>
  <c r="K89" i="9"/>
  <c r="K111" i="9"/>
  <c r="K95" i="9"/>
  <c r="K81" i="9"/>
  <c r="K77" i="9"/>
  <c r="K109" i="9"/>
  <c r="K83" i="9"/>
  <c r="K13" i="9"/>
  <c r="K118" i="9"/>
  <c r="K104" i="9"/>
  <c r="K87" i="9"/>
  <c r="K85" i="9"/>
  <c r="K92" i="9"/>
  <c r="K90" i="9"/>
  <c r="K114" i="9"/>
  <c r="K88" i="9"/>
  <c r="K80" i="9"/>
  <c r="K100" i="9"/>
  <c r="K113" i="9"/>
  <c r="K115" i="9"/>
  <c r="K40" i="9"/>
  <c r="K22" i="9"/>
  <c r="K75" i="9"/>
  <c r="K71" i="9"/>
  <c r="K51" i="9"/>
  <c r="K67" i="9"/>
  <c r="K70" i="9"/>
  <c r="K62" i="9"/>
  <c r="K29" i="9"/>
  <c r="K39" i="9"/>
  <c r="K9" i="9"/>
  <c r="K73" i="9"/>
  <c r="K15" i="9"/>
  <c r="K23" i="9"/>
  <c r="K61" i="9"/>
  <c r="K65" i="9"/>
  <c r="K33" i="9"/>
  <c r="K12" i="9"/>
  <c r="K30" i="9"/>
  <c r="K32" i="9"/>
  <c r="K56" i="9"/>
  <c r="K43" i="9"/>
  <c r="K48" i="9"/>
  <c r="K18" i="9"/>
  <c r="K19" i="9"/>
  <c r="K35" i="9"/>
  <c r="K47" i="9"/>
  <c r="K58" i="9"/>
  <c r="K25" i="9"/>
  <c r="K64" i="9"/>
  <c r="K21" i="9"/>
  <c r="K10" i="9"/>
  <c r="K74" i="9"/>
  <c r="K63" i="9"/>
  <c r="K17" i="9"/>
  <c r="K34" i="9"/>
  <c r="K16" i="9"/>
  <c r="K28" i="9"/>
  <c r="K44" i="9"/>
  <c r="K27" i="9"/>
  <c r="K37" i="9"/>
  <c r="K59" i="9"/>
  <c r="K24" i="9"/>
  <c r="K55" i="9"/>
  <c r="K72" i="9"/>
  <c r="K11" i="9"/>
  <c r="K57" i="9"/>
  <c r="K46" i="9"/>
  <c r="K50" i="9"/>
  <c r="K53" i="9"/>
  <c r="K49" i="9"/>
  <c r="K31" i="9"/>
  <c r="K54" i="9"/>
  <c r="K14" i="9"/>
  <c r="K52" i="9"/>
  <c r="K68" i="9"/>
  <c r="K36" i="9"/>
  <c r="K76" i="9"/>
  <c r="K41" i="9"/>
  <c r="K38" i="9"/>
  <c r="K66" i="9"/>
  <c r="K60" i="9"/>
  <c r="K69" i="9"/>
  <c r="K45" i="9"/>
  <c r="K26" i="9"/>
  <c r="K20" i="9"/>
  <c r="K42" i="9"/>
  <c r="U119" i="9"/>
  <c r="J12" i="8"/>
  <c r="K119" i="9" l="1"/>
  <c r="H11" i="8"/>
  <c r="H10" i="8"/>
  <c r="H9" i="8"/>
  <c r="H12" i="8" l="1"/>
</calcChain>
</file>

<file path=xl/sharedStrings.xml><?xml version="1.0" encoding="utf-8"?>
<sst xmlns="http://schemas.openxmlformats.org/spreadsheetml/2006/main" count="660" uniqueCount="282">
  <si>
    <t>صندوق سرمایه گذاری بخشی افق دماوند</t>
  </si>
  <si>
    <t>صورت وضعیت پرتفوی</t>
  </si>
  <si>
    <t>1404/07/30</t>
  </si>
  <si>
    <t>تغییرات طی دوره</t>
  </si>
  <si>
    <t>1404/08/30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</si>
  <si>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</si>
  <si>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</si>
  <si>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</si>
  <si>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</si>
  <si>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</si>
  <si>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</si>
  <si>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</si>
  <si>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</si>
  <si>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</si>
  <si>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اختیارخ خودرو-380-1404/10/03</t>
  </si>
  <si>
    <t>اختیارخ خودرو-450-1404/10/03</t>
  </si>
  <si>
    <t>اختیارخ وبملت-1200-1404/08/21</t>
  </si>
  <si>
    <t>پتروشیمی ارومیه</t>
  </si>
  <si>
    <t>پتروشیمی پارس</t>
  </si>
  <si>
    <t>پتروشیمی پردیس</t>
  </si>
  <si>
    <t>پتروشیمی تندگویان</t>
  </si>
  <si>
    <t>پتروشیمی فناوران</t>
  </si>
  <si>
    <t>پتروشیمی نوری</t>
  </si>
  <si>
    <t>پتروشیمی‌ خارک‌</t>
  </si>
  <si>
    <t>پتروشیمی‌شیراز</t>
  </si>
  <si>
    <t>پلیمر آریا ساسول</t>
  </si>
  <si>
    <t>تولیدات پتروشیمی قائد بصیر</t>
  </si>
  <si>
    <t>تولیدی و صنعتی گوهرفام</t>
  </si>
  <si>
    <t>توکا رنگ فولاد سپاهان</t>
  </si>
  <si>
    <t>دوده‌ صنعتی‌ پارس‌</t>
  </si>
  <si>
    <t>س. نفت و گاز و پتروشیمی تأمین</t>
  </si>
  <si>
    <t>سرمایه گذاری تامین اجتماعی</t>
  </si>
  <si>
    <t>سرمایه‌گذاری صنایع پتروشیمی‌</t>
  </si>
  <si>
    <t>صنایع پتروشیمی خلیج فارس</t>
  </si>
  <si>
    <t>صنایع پتروشیمی دهدشت</t>
  </si>
  <si>
    <t>صنایع شیمیایی کیمیاگران امروز</t>
  </si>
  <si>
    <t>گ.س.وت.ص.پتروشیمی خلیج فارس</t>
  </si>
  <si>
    <t>گسترش نفت و گاز پارسیان</t>
  </si>
  <si>
    <t>گلتاش‌</t>
  </si>
  <si>
    <t>مدیریت صنعت شوینده ت.ص.بهشهر</t>
  </si>
  <si>
    <t>معدنی‌ املاح‌  ایران‌</t>
  </si>
  <si>
    <t>ملی شیمی کشاورز</t>
  </si>
  <si>
    <t>نیروکلر</t>
  </si>
  <si>
    <t>کربن‌ ایران‌</t>
  </si>
  <si>
    <t>کلر پارس</t>
  </si>
  <si>
    <t>س. و توسعه صنایع لاستیک</t>
  </si>
  <si>
    <t>پتروشیمی بوعلی سینا</t>
  </si>
  <si>
    <t>گروه مالی مهرگان تامین پارس</t>
  </si>
  <si>
    <t>جمع</t>
  </si>
  <si>
    <t>نام سهام</t>
  </si>
  <si>
    <t>قیمت اعمال</t>
  </si>
  <si>
    <t>تاریخ اعمال</t>
  </si>
  <si>
    <t>نرخ سود موثر</t>
  </si>
  <si>
    <t>تعداد اوراق</t>
  </si>
  <si>
    <t>اختیارخ شستا-1200-1404/08/14</t>
  </si>
  <si>
    <t>1404/08/14</t>
  </si>
  <si>
    <t>اختیارخ شستا-1300-1404/08/14</t>
  </si>
  <si>
    <t>اختیارخ خودرو-500-1404/10/03</t>
  </si>
  <si>
    <t>1404/10/03</t>
  </si>
  <si>
    <t>اختیارخ وبملت-1300-1404/08/21</t>
  </si>
  <si>
    <t>1404/08/21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</si>
  <si>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</si>
  <si>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</si>
  <si>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</si>
  <si>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</si>
  <si>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</si>
  <si>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</si>
  <si>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</si>
  <si>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صکوک مرابحه اندیمشک07-6ماهه23%</t>
  </si>
  <si>
    <t>بله</t>
  </si>
  <si>
    <t>1402/10/06</t>
  </si>
  <si>
    <t>1407/10/06</t>
  </si>
  <si>
    <t>اسناد خزانه-م1-س.قوا03-060615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</si>
  <si>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</si>
  <si>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</si>
  <si>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</si>
  <si>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</si>
  <si>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</si>
  <si>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</si>
  <si>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</si>
  <si>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</si>
  <si>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</si>
  <si>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</si>
  <si>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</si>
  <si>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</si>
  <si>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</si>
  <si>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</si>
  <si>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</si>
  <si>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</si>
  <si>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</si>
  <si>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</si>
  <si>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</si>
  <si>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</si>
  <si>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</si>
  <si>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</si>
  <si>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</si>
  <si>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</si>
  <si>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</si>
  <si>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گروه‌صنعتی‌سپاهان‌</t>
  </si>
  <si>
    <t>الکتریک‌ خودرو شرق‌</t>
  </si>
  <si>
    <t>سیمان آبیک</t>
  </si>
  <si>
    <t>بانک تجارت</t>
  </si>
  <si>
    <t>پدیده شیمی قرن</t>
  </si>
  <si>
    <t>کاشی‌ پارس‌</t>
  </si>
  <si>
    <t>توسعه نیشکر و  صنایع جانبی</t>
  </si>
  <si>
    <t>تامین سرمایه دماوند</t>
  </si>
  <si>
    <t>ذوب آهن اصفهان</t>
  </si>
  <si>
    <t>پتروشیمی زاگرس</t>
  </si>
  <si>
    <t>تولید مواداولیه الیاف مصنوعی</t>
  </si>
  <si>
    <t>اخشان خراسان</t>
  </si>
  <si>
    <t>ح . توکا رنگ فولاد سپاهان</t>
  </si>
  <si>
    <t>مدیریت نیروگاهی ایرانیان مپنا</t>
  </si>
  <si>
    <t>گسترش سوخت سبززاگرس(سهامی عام)</t>
  </si>
  <si>
    <t>صنایع ارتباطی آوا</t>
  </si>
  <si>
    <t>کاشی‌ الوند</t>
  </si>
  <si>
    <t>پالایش نفت اصفهان</t>
  </si>
  <si>
    <t>بانک ملت</t>
  </si>
  <si>
    <t>بانک صادرات ایران</t>
  </si>
  <si>
    <t>صنعتی‌ آما</t>
  </si>
  <si>
    <t>فرانسوز یزد</t>
  </si>
  <si>
    <t>صبا فولاد خلیج فارس</t>
  </si>
  <si>
    <t>سیمان ساوه</t>
  </si>
  <si>
    <t>ایمن خودرو شرق</t>
  </si>
  <si>
    <t>اختیارخ خودرو-471-1404/03/07</t>
  </si>
  <si>
    <t>تولید انرژی برق شمس پاسارگاد</t>
  </si>
  <si>
    <t>پتروشیمی جم</t>
  </si>
  <si>
    <t>پاکدیس</t>
  </si>
  <si>
    <t>تایدواترخاورمیانه</t>
  </si>
  <si>
    <t>زامیاد</t>
  </si>
  <si>
    <t>اختیارخ خودرو-529-1404/02/03</t>
  </si>
  <si>
    <t>عنوان</t>
  </si>
  <si>
    <t>درآمد سود اوراق</t>
  </si>
  <si>
    <t>صکوک اجاره اخابر61-3ماهه23%</t>
  </si>
  <si>
    <t>مبلغ شناسایی شده بابت قرارداد خرید و نگهداری اوراق بهادار</t>
  </si>
  <si>
    <t>طرف معامله</t>
  </si>
  <si>
    <t>نوع وابستگی</t>
  </si>
  <si>
    <t>نام ورقه بهادار</t>
  </si>
  <si>
    <t>بهای تمام شده اوراق</t>
  </si>
  <si>
    <t>مدیر صندوق</t>
  </si>
  <si>
    <t>نام سپرده بانکی</t>
  </si>
  <si>
    <t>سود سپرده بانکی و گواهی سپرده</t>
  </si>
  <si>
    <t>درصد سود به میانگین سپرده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</si>
  <si>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</si>
  <si>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</si>
  <si>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</si>
  <si>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</si>
  <si>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</si>
  <si>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</si>
  <si>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</si>
  <si>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</si>
  <si>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1404/04/28</t>
  </si>
  <si>
    <t>1404/03/26</t>
  </si>
  <si>
    <t>1404/05/11</t>
  </si>
  <si>
    <t>1404/02/17</t>
  </si>
  <si>
    <t>1404/02/31</t>
  </si>
  <si>
    <t>1404/05/08</t>
  </si>
  <si>
    <t>1404/05/04</t>
  </si>
  <si>
    <t>1404/03/17</t>
  </si>
  <si>
    <t>1404/03/12</t>
  </si>
  <si>
    <t>1404/04/31</t>
  </si>
  <si>
    <t>1404/06/23</t>
  </si>
  <si>
    <t>1404/03/01</t>
  </si>
  <si>
    <t>1404/02/15</t>
  </si>
  <si>
    <t>1404/06/25</t>
  </si>
  <si>
    <t>1404/02/22</t>
  </si>
  <si>
    <t>1404/04/25</t>
  </si>
  <si>
    <t>1404/02/30</t>
  </si>
  <si>
    <t>1404/04/29</t>
  </si>
  <si>
    <t>1404/04/30</t>
  </si>
  <si>
    <t>1404/01/31</t>
  </si>
  <si>
    <t>1404/05/14</t>
  </si>
  <si>
    <t>1404/03/10</t>
  </si>
  <si>
    <t>سود اوراق بهادار با درآمد ثابت</t>
  </si>
  <si>
    <t>نرخ سود علی الحساب</t>
  </si>
  <si>
    <t>درآمد سود</t>
  </si>
  <si>
    <t>خالص درآمد</t>
  </si>
  <si>
    <t>1406/11/14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</si>
  <si>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</si>
  <si>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</si>
  <si>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</si>
  <si>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</si>
  <si>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</si>
  <si>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</si>
  <si>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اختیار</t>
  </si>
  <si>
    <t>کارمزد اعمال</t>
  </si>
  <si>
    <t>مالیات اعمال</t>
  </si>
  <si>
    <t>سود(زیان)اعمال</t>
  </si>
  <si>
    <t>درآمد ناشی از تغییر قیمت اوراق بهادار</t>
  </si>
  <si>
    <t>سود و زیان ناشی از تغییر قیمت</t>
  </si>
  <si>
    <t>1-سرمایه گذاری ها</t>
  </si>
  <si>
    <t>1-1-سرمایه گذاری در سهام و حق تقدم سهام</t>
  </si>
  <si>
    <t>.</t>
  </si>
  <si>
    <t>در اجرای ابلاغیه شماره 12020093 مورخ 1396/09/05 سازمان بورس اوراق بهادار</t>
  </si>
  <si>
    <t>گزارش افشا پرتفوی ماهانه</t>
  </si>
  <si>
    <t>1-2-سرمایه‌گذاری در اوراق بهادار با درآمد ثابت یا علی‌الحساب</t>
  </si>
  <si>
    <t>1-3-سرمایه‌گذاری در  سپرده‌ بانکی</t>
  </si>
  <si>
    <t>سپرده کوتاه مدت بانک پاسارگاد</t>
  </si>
  <si>
    <t>سپرده کوتاه مدت بانک صادرات</t>
  </si>
  <si>
    <t>سپرده کوتاه مدت بانک سینا</t>
  </si>
  <si>
    <t>ااختیارخ خودرو-400-1404/04/08</t>
  </si>
  <si>
    <t>اختیارخ خودرو-300-1404/07/02</t>
  </si>
  <si>
    <t>اختیارخ خودرو-400-1404/07/02</t>
  </si>
  <si>
    <t>اختیارخ خودرو-500-1404/04/08</t>
  </si>
  <si>
    <t>اختیارخ خودرو-588-1404/03/07</t>
  </si>
  <si>
    <t>اختیارخ خودرو-647-1404/03/07</t>
  </si>
  <si>
    <t>اختیارخ ذوب-300-1404/06/18</t>
  </si>
  <si>
    <t>اختیارخ ذوب-400-1404/02/24</t>
  </si>
  <si>
    <t>اختیارخ ذوب-400-1404/03/21</t>
  </si>
  <si>
    <t>اختیارخ ذوب-500-1404/01/20</t>
  </si>
  <si>
    <t>اختیارخ ذوب-500-1404/02/24</t>
  </si>
  <si>
    <t>اختیارخ ذوب-500-1404/03/21</t>
  </si>
  <si>
    <t>اختیارخ شپنا-3521-1404/02/17</t>
  </si>
  <si>
    <t>اختیارخ شپنا-3873-1404/02/17</t>
  </si>
  <si>
    <t>اختیارخ شپنا-3873-1404/04/18</t>
  </si>
  <si>
    <t>اختیارخ شستا-1300-1404/01/20</t>
  </si>
  <si>
    <t>اختیارخ شستا-1300-1404/02/10</t>
  </si>
  <si>
    <t>اختیارخ شستا-1400-1404/01/20</t>
  </si>
  <si>
    <t>اختیارخ شستا-1500-1404/02/10</t>
  </si>
  <si>
    <t>اختیارخ شستا-1600-1404/03/13</t>
  </si>
  <si>
    <t>اختیارخ شستا-1700-1404/03/13</t>
  </si>
  <si>
    <t>اختیارخ وبصادر-400-1404/07/23</t>
  </si>
  <si>
    <t>اختیارخ وبصادر-500-1404/09/19</t>
  </si>
  <si>
    <t>اختیارخ وبصادر-600-1404/03/21</t>
  </si>
  <si>
    <t>اختیارخ وبصادر-700-1404/03/21</t>
  </si>
  <si>
    <t>اختیارخ وبملت-2640-1404/03/21</t>
  </si>
  <si>
    <t>اختیارخ وتجارت-500-1404/04/18</t>
  </si>
  <si>
    <t>اختیارخ وتجارت-600-1404/04/18</t>
  </si>
  <si>
    <t>اختیارف خودرو-588-1404/03/07</t>
  </si>
  <si>
    <t>اختیارف خودرو-647-1404/03/07</t>
  </si>
  <si>
    <t>1404/04/08</t>
  </si>
  <si>
    <t>1404/07/02</t>
  </si>
  <si>
    <t>1404/03/07</t>
  </si>
  <si>
    <t>1404/02/03</t>
  </si>
  <si>
    <t>1404/06/18</t>
  </si>
  <si>
    <t>1404/02/24</t>
  </si>
  <si>
    <t>1404/03/21</t>
  </si>
  <si>
    <t>1404/01/20</t>
  </si>
  <si>
    <t>1404/04/18</t>
  </si>
  <si>
    <t>1404/02/10</t>
  </si>
  <si>
    <t>1404/03/13</t>
  </si>
  <si>
    <t>1404/07/23</t>
  </si>
  <si>
    <t>1404/09/19</t>
  </si>
  <si>
    <t>اختیارخ وتجارت-2600-1404/02/17</t>
  </si>
  <si>
    <t>اختیارخ خودرو-5000-1404/02/03</t>
  </si>
  <si>
    <t>1-2-درآمد حاصل از سرمایه­گذاری در سهام و حق تقدم سهام</t>
  </si>
  <si>
    <t>2-2-درآمد حاصل از سرمایه­گذاری در اوراق بهادار با درآمد ثابت:</t>
  </si>
  <si>
    <t>3-2-درآمد حاصل از سرمایه­گذاری در سپرده بانکی و گواهی سپرده</t>
  </si>
  <si>
    <t>4-2-سایر درآمدها</t>
  </si>
  <si>
    <t>تأمین سرمایه دماوند</t>
  </si>
  <si>
    <t>میانگین نرخ بازده تا سررسید قراردادهای منعقده(درصد)</t>
  </si>
  <si>
    <t>نرخ اسمی(درصد)</t>
  </si>
  <si>
    <t>جزئیات قراردادهای خرید و نگهداری اوراق بهادار با درآمد ثابت</t>
  </si>
  <si>
    <t xml:space="preserve">صکوک مرابحه اندیمشک07-6ماهه23% </t>
  </si>
  <si>
    <t>33</t>
  </si>
  <si>
    <t xml:space="preserve"> </t>
  </si>
  <si>
    <t>1404/09/30</t>
  </si>
  <si>
    <t>پتروشیمی مارون</t>
  </si>
  <si>
    <t>سپرده بانک سینا</t>
  </si>
  <si>
    <t>سپرده بانک پاسارگاد</t>
  </si>
  <si>
    <t>سپرده بانک صادرات</t>
  </si>
  <si>
    <t>سپرده بانک پاسارگاد بانکداری دیجیتال</t>
  </si>
  <si>
    <t>صندوق سرمایه گذاری افق دماوند</t>
  </si>
  <si>
    <t>1404/09/22</t>
  </si>
  <si>
    <t>ح. تامین سرمایه دماوند</t>
  </si>
  <si>
    <t>‫دوره یک ماهه منتهی 30 دی 1404</t>
  </si>
  <si>
    <t>برای ماه منتهی به 1404/10/30</t>
  </si>
  <si>
    <t>1404/10/30</t>
  </si>
  <si>
    <t>گروه صنعتی درپاد تبریز</t>
  </si>
  <si>
    <t>پلی پروپیلن جم - جم پیلن</t>
  </si>
  <si>
    <t>نوع موقعیت</t>
  </si>
  <si>
    <t>1404/12/13</t>
  </si>
  <si>
    <t>-</t>
  </si>
  <si>
    <t>موقعیت فروش</t>
  </si>
  <si>
    <t>اختیار خرید</t>
  </si>
  <si>
    <t>اختیارخ فارس-10000-1404/12/13</t>
  </si>
  <si>
    <t>استراتژی ماخوذه</t>
  </si>
  <si>
    <t>نوع اختیار</t>
  </si>
  <si>
    <t>1404/10/23</t>
  </si>
  <si>
    <t>ايران خودرو</t>
  </si>
  <si>
    <t>پاكديس</t>
  </si>
  <si>
    <t>تامين ماسه ريخته گري</t>
  </si>
  <si>
    <t>پتروشيمي اروميه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</si>
</sst>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#,##0_-;\(#,##0\)"/>
    <numFmt numFmtId="166" formatCode="_(* #,##0_);_(* \(#,##0\);_(* &quot;-&quot;??_);_(@_)"/>
  </numFmts>
  <fonts count="22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1"/>
      <name val="Calibri"/>
      <family val="2"/>
    </font>
    <font>
      <sz val="12"/>
      <color indexed="8"/>
      <name val="B Nazanin"/>
      <charset val="178"/>
    </font>
    <font>
      <sz val="14"/>
      <color indexed="8"/>
      <name val="B Nazanin"/>
      <charset val="178"/>
    </font>
    <font>
      <sz val="18"/>
      <color indexed="8"/>
      <name val="B Nazanin"/>
      <charset val="178"/>
    </font>
    <font>
      <u/>
      <sz val="14"/>
      <color indexed="8"/>
      <name val="B Nazanin"/>
      <charset val="178"/>
    </font>
    <font>
      <b/>
      <u/>
      <sz val="14"/>
      <color indexed="8"/>
      <name val="B Nazanin"/>
      <charset val="178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B Nazanin"/>
      <charset val="178"/>
    </font>
    <font>
      <sz val="11"/>
      <color indexed="8"/>
      <name val="Calibri"/>
      <family val="2"/>
      <scheme val="minor"/>
    </font>
    <font>
      <sz val="11"/>
      <color indexed="8"/>
      <name val="B Nazanin"/>
      <charset val="178"/>
    </font>
    <font>
      <sz val="11"/>
      <color theme="1"/>
      <name val="B Nazanin"/>
      <charset val="178"/>
    </font>
    <font>
      <b/>
      <sz val="10"/>
      <color theme="1"/>
      <name val="B Zar"/>
      <charset val="178"/>
    </font>
    <font>
      <b/>
      <sz val="12"/>
      <name val="B Nazanin"/>
      <charset val="178"/>
    </font>
    <font>
      <sz val="10"/>
      <color rgb="FF000000"/>
      <name val="Arial"/>
      <family val="2"/>
    </font>
    <font>
      <sz val="12"/>
      <color rgb="FF000000"/>
      <name val="Arial"/>
      <family val="2"/>
      <charset val="178"/>
    </font>
    <font>
      <b/>
      <sz val="18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5" fillId="0" borderId="0"/>
    <xf numFmtId="0" fontId="12" fillId="0" borderId="0"/>
    <xf numFmtId="164" fontId="12" fillId="0" borderId="0" applyFont="0" applyFill="0" applyBorder="0" applyAlignment="0" applyProtection="0"/>
    <xf numFmtId="0" fontId="14" fillId="0" borderId="0"/>
    <xf numFmtId="0" fontId="11" fillId="0" borderId="0"/>
    <xf numFmtId="164" fontId="19" fillId="0" borderId="0" applyFont="0" applyFill="0" applyBorder="0" applyAlignment="0" applyProtection="0"/>
  </cellStyleXfs>
  <cellXfs count="112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3" fontId="4" fillId="0" borderId="2" xfId="0" applyNumberFormat="1" applyFont="1" applyBorder="1" applyAlignment="1">
      <alignment horizontal="center" vertical="top"/>
    </xf>
    <xf numFmtId="3" fontId="4" fillId="0" borderId="5" xfId="0" applyNumberFormat="1" applyFont="1" applyBorder="1" applyAlignment="1">
      <alignment horizontal="center" vertical="top"/>
    </xf>
    <xf numFmtId="4" fontId="4" fillId="0" borderId="5" xfId="0" applyNumberFormat="1" applyFont="1" applyBorder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2" xfId="0" applyFont="1" applyBorder="1" applyAlignment="1">
      <alignment vertical="top"/>
    </xf>
    <xf numFmtId="0" fontId="3" fillId="0" borderId="4" xfId="0" applyFont="1" applyBorder="1" applyAlignment="1">
      <alignment vertical="center"/>
    </xf>
    <xf numFmtId="0" fontId="6" fillId="0" borderId="0" xfId="1" applyFont="1"/>
    <xf numFmtId="0" fontId="7" fillId="0" borderId="0" xfId="1" applyFont="1" applyAlignment="1">
      <alignment vertical="center"/>
    </xf>
    <xf numFmtId="0" fontId="9" fillId="0" borderId="0" xfId="1" applyFont="1"/>
    <xf numFmtId="0" fontId="10" fillId="0" borderId="0" xfId="1" applyFont="1"/>
    <xf numFmtId="3" fontId="4" fillId="0" borderId="0" xfId="0" applyNumberFormat="1" applyFont="1" applyAlignment="1">
      <alignment horizontal="center" vertical="top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37" fontId="0" fillId="0" borderId="0" xfId="0" applyNumberFormat="1" applyAlignment="1">
      <alignment horizontal="center"/>
    </xf>
    <xf numFmtId="37" fontId="4" fillId="0" borderId="0" xfId="0" applyNumberFormat="1" applyFont="1" applyAlignment="1">
      <alignment horizontal="center" vertical="top"/>
    </xf>
    <xf numFmtId="37" fontId="4" fillId="0" borderId="5" xfId="0" applyNumberFormat="1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readingOrder="2"/>
    </xf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0" fontId="2" fillId="0" borderId="0" xfId="0" applyFont="1" applyAlignment="1">
      <alignment horizontal="center" vertical="center" readingOrder="2"/>
    </xf>
    <xf numFmtId="0" fontId="3" fillId="0" borderId="4" xfId="0" applyFont="1" applyBorder="1" applyAlignment="1">
      <alignment horizontal="center" vertical="center"/>
    </xf>
    <xf numFmtId="37" fontId="4" fillId="0" borderId="2" xfId="0" applyNumberFormat="1" applyFont="1" applyBorder="1" applyAlignment="1">
      <alignment horizontal="center"/>
    </xf>
    <xf numFmtId="37" fontId="4" fillId="0" borderId="0" xfId="0" applyNumberFormat="1" applyFont="1" applyAlignment="1">
      <alignment horizontal="center"/>
    </xf>
    <xf numFmtId="37" fontId="4" fillId="0" borderId="5" xfId="0" applyNumberFormat="1" applyFont="1" applyBorder="1" applyAlignment="1">
      <alignment horizontal="center" vertical="center"/>
    </xf>
    <xf numFmtId="37" fontId="0" fillId="0" borderId="0" xfId="0" applyNumberFormat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37" fontId="0" fillId="0" borderId="0" xfId="0" applyNumberFormat="1" applyAlignment="1">
      <alignment horizontal="left"/>
    </xf>
    <xf numFmtId="37" fontId="4" fillId="0" borderId="6" xfId="0" applyNumberFormat="1" applyFont="1" applyBorder="1" applyAlignment="1">
      <alignment horizontal="center" vertical="top"/>
    </xf>
    <xf numFmtId="37" fontId="4" fillId="0" borderId="2" xfId="0" applyNumberFormat="1" applyFont="1" applyBorder="1" applyAlignment="1">
      <alignment horizontal="center" vertical="center"/>
    </xf>
    <xf numFmtId="37" fontId="4" fillId="0" borderId="0" xfId="0" applyNumberFormat="1" applyFont="1" applyAlignment="1">
      <alignment horizontal="center" vertical="center"/>
    </xf>
    <xf numFmtId="37" fontId="4" fillId="0" borderId="4" xfId="0" applyNumberFormat="1" applyFont="1" applyBorder="1" applyAlignment="1">
      <alignment horizontal="center" vertical="center"/>
    </xf>
    <xf numFmtId="37" fontId="4" fillId="0" borderId="6" xfId="0" applyNumberFormat="1" applyFont="1" applyBorder="1" applyAlignment="1">
      <alignment horizontal="center" vertical="center"/>
    </xf>
    <xf numFmtId="39" fontId="4" fillId="0" borderId="0" xfId="0" applyNumberFormat="1" applyFont="1" applyAlignment="1">
      <alignment horizontal="center" vertical="center"/>
    </xf>
    <xf numFmtId="39" fontId="4" fillId="0" borderId="6" xfId="0" applyNumberFormat="1" applyFont="1" applyBorder="1" applyAlignment="1">
      <alignment horizontal="center" vertical="center"/>
    </xf>
    <xf numFmtId="0" fontId="12" fillId="0" borderId="0" xfId="2"/>
    <xf numFmtId="0" fontId="12" fillId="0" borderId="0" xfId="2" applyAlignment="1">
      <alignment horizontal="center" vertical="center"/>
    </xf>
    <xf numFmtId="37" fontId="13" fillId="0" borderId="0" xfId="3" applyNumberFormat="1" applyFont="1" applyFill="1" applyBorder="1" applyAlignment="1">
      <alignment horizontal="center" vertical="center" shrinkToFit="1"/>
    </xf>
    <xf numFmtId="37" fontId="15" fillId="0" borderId="0" xfId="4" applyNumberFormat="1" applyFont="1" applyAlignment="1">
      <alignment horizontal="center" vertical="center" wrapText="1"/>
    </xf>
    <xf numFmtId="37" fontId="16" fillId="0" borderId="8" xfId="3" applyNumberFormat="1" applyFont="1" applyFill="1" applyBorder="1" applyAlignment="1">
      <alignment horizontal="center" vertical="center" shrinkToFit="1"/>
    </xf>
    <xf numFmtId="37" fontId="16" fillId="0" borderId="6" xfId="3" applyNumberFormat="1" applyFont="1" applyFill="1" applyBorder="1" applyAlignment="1">
      <alignment horizontal="center" vertical="center" shrinkToFit="1"/>
    </xf>
    <xf numFmtId="0" fontId="14" fillId="0" borderId="0" xfId="4"/>
    <xf numFmtId="49" fontId="15" fillId="0" borderId="9" xfId="4" applyNumberFormat="1" applyFont="1" applyBorder="1" applyAlignment="1">
      <alignment horizontal="center" vertical="center" wrapText="1"/>
    </xf>
    <xf numFmtId="37" fontId="15" fillId="0" borderId="9" xfId="4" applyNumberFormat="1" applyFont="1" applyBorder="1" applyAlignment="1">
      <alignment horizontal="center" vertical="center" wrapText="1"/>
    </xf>
    <xf numFmtId="0" fontId="15" fillId="0" borderId="9" xfId="4" applyFont="1" applyBorder="1" applyAlignment="1">
      <alignment horizontal="center" vertical="center" wrapText="1"/>
    </xf>
    <xf numFmtId="0" fontId="17" fillId="2" borderId="10" xfId="4" applyFont="1" applyFill="1" applyBorder="1" applyAlignment="1">
      <alignment horizontal="center" vertical="center" wrapText="1"/>
    </xf>
    <xf numFmtId="0" fontId="17" fillId="2" borderId="10" xfId="4" applyFont="1" applyFill="1" applyBorder="1" applyAlignment="1">
      <alignment horizontal="center" vertical="center"/>
    </xf>
    <xf numFmtId="0" fontId="17" fillId="2" borderId="11" xfId="4" applyFont="1" applyFill="1" applyBorder="1" applyAlignment="1">
      <alignment horizontal="center" vertical="center"/>
    </xf>
    <xf numFmtId="0" fontId="1" fillId="0" borderId="0" xfId="5" applyFont="1" applyAlignment="1">
      <alignment vertical="center"/>
    </xf>
    <xf numFmtId="3" fontId="0" fillId="0" borderId="0" xfId="0" applyNumberFormat="1" applyAlignment="1">
      <alignment horizontal="center"/>
    </xf>
    <xf numFmtId="3" fontId="11" fillId="0" borderId="0" xfId="0" applyNumberFormat="1" applyFont="1" applyAlignment="1">
      <alignment horizontal="left"/>
    </xf>
    <xf numFmtId="166" fontId="0" fillId="0" borderId="0" xfId="6" applyNumberFormat="1" applyFont="1" applyAlignment="1">
      <alignment horizontal="left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/>
    </xf>
    <xf numFmtId="3" fontId="4" fillId="0" borderId="6" xfId="0" applyNumberFormat="1" applyFont="1" applyBorder="1" applyAlignment="1">
      <alignment horizontal="center" vertical="center"/>
    </xf>
    <xf numFmtId="4" fontId="4" fillId="0" borderId="6" xfId="0" applyNumberFormat="1" applyFont="1" applyBorder="1" applyAlignment="1">
      <alignment horizontal="center" vertical="center"/>
    </xf>
    <xf numFmtId="0" fontId="11" fillId="0" borderId="0" xfId="5" applyAlignment="1">
      <alignment horizontal="left"/>
    </xf>
    <xf numFmtId="0" fontId="3" fillId="0" borderId="3" xfId="5" applyFont="1" applyBorder="1" applyAlignment="1">
      <alignment horizontal="center" vertical="center"/>
    </xf>
    <xf numFmtId="0" fontId="11" fillId="0" borderId="2" xfId="5" applyBorder="1" applyAlignment="1">
      <alignment horizontal="left"/>
    </xf>
    <xf numFmtId="0" fontId="3" fillId="0" borderId="4" xfId="5" applyFont="1" applyBorder="1" applyAlignment="1">
      <alignment horizontal="center" vertical="center"/>
    </xf>
    <xf numFmtId="0" fontId="4" fillId="0" borderId="2" xfId="5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top"/>
    </xf>
    <xf numFmtId="0" fontId="20" fillId="0" borderId="0" xfId="0" applyFont="1" applyAlignment="1">
      <alignment horizontal="center"/>
    </xf>
    <xf numFmtId="0" fontId="4" fillId="0" borderId="2" xfId="5" applyFont="1" applyBorder="1" applyAlignment="1">
      <alignment horizontal="center" vertical="top"/>
    </xf>
    <xf numFmtId="0" fontId="11" fillId="0" borderId="0" xfId="5" applyAlignment="1">
      <alignment horizontal="center"/>
    </xf>
    <xf numFmtId="3" fontId="4" fillId="0" borderId="0" xfId="0" applyNumberFormat="1" applyFont="1" applyAlignment="1">
      <alignment horizontal="right" vertical="top"/>
    </xf>
    <xf numFmtId="37" fontId="21" fillId="0" borderId="0" xfId="1" applyNumberFormat="1" applyFont="1" applyAlignment="1">
      <alignment horizontal="center" vertical="center"/>
    </xf>
    <xf numFmtId="0" fontId="8" fillId="0" borderId="0" xfId="1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 readingOrder="2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2" xfId="5" applyFont="1" applyBorder="1" applyAlignment="1">
      <alignment horizontal="center" vertical="top"/>
    </xf>
    <xf numFmtId="0" fontId="3" fillId="0" borderId="3" xfId="5" applyFont="1" applyBorder="1" applyAlignment="1">
      <alignment horizontal="center" vertical="center"/>
    </xf>
    <xf numFmtId="3" fontId="4" fillId="0" borderId="2" xfId="5" applyNumberFormat="1" applyFont="1" applyBorder="1" applyAlignment="1">
      <alignment horizontal="center" vertical="top"/>
    </xf>
    <xf numFmtId="0" fontId="3" fillId="0" borderId="4" xfId="5" applyFont="1" applyBorder="1" applyAlignment="1">
      <alignment horizontal="center" vertical="center"/>
    </xf>
    <xf numFmtId="0" fontId="1" fillId="0" borderId="0" xfId="5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65" fontId="18" fillId="0" borderId="0" xfId="4" applyNumberFormat="1" applyFont="1" applyAlignment="1">
      <alignment horizontal="right" vertical="center"/>
    </xf>
    <xf numFmtId="165" fontId="14" fillId="0" borderId="0" xfId="4" applyNumberFormat="1"/>
  </cellXfs>
  <cellStyles count="7">
    <cellStyle name="Comma" xfId="6" builtinId="3"/>
    <cellStyle name="Comma 2 2 2" xfId="3" xr:uid="{6C44EE83-7629-486C-86DA-4CCB53F970C4}"/>
    <cellStyle name="Normal" xfId="0" builtinId="0"/>
    <cellStyle name="Normal 2" xfId="1" xr:uid="{425A1797-DB7E-4DB8-9B20-63E849E5664B}"/>
    <cellStyle name="Normal 2 2" xfId="4" xr:uid="{785E5991-2F6D-4DF5-9E65-70DBDC5B8E77}"/>
    <cellStyle name="Normal 2 3" xfId="5" xr:uid="{45952946-8717-4D47-B1D3-A73F89DEB58D}"/>
    <cellStyle name="Normal 2 4" xfId="2" xr:uid="{8D8F4484-EE75-49F8-981B-6262E7644C1C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63500</xdr:colOff>
      <xdr:row>0</xdr:row>
      <xdr:rowOff>1</xdr:rowOff>
    </xdr:from>
    <xdr:ext cx="4200525" cy="5194299"/>
    <xdr:pic>
      <xdr:nvPicPr>
        <xdr:cNvPr id="2" name="Picture 1">
          <a:extLst>
            <a:ext uri="{FF2B5EF4-FFF2-40B4-BE49-F238E27FC236}">
              <a16:creationId xmlns:a16="http://schemas.microsoft.com/office/drawing/2014/main" id="{564A2B5C-F29F-4BFA-8255-1F7703706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2203175" y="1"/>
          <a:ext cx="4200525" cy="5194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7CE48-CCE8-4CDA-8DAB-218A3D508442}">
  <sheetPr>
    <tabColor rgb="FF92D050"/>
    <pageSetUpPr fitToPage="1"/>
  </sheetPr>
  <dimension ref="A1:V36"/>
  <sheetViews>
    <sheetView rightToLeft="1" tabSelected="1" view="pageBreakPreview" topLeftCell="A19" zoomScaleNormal="100" zoomScaleSheetLayoutView="100" workbookViewId="0">
      <selection activeCell="K27" sqref="K27"/>
    </sheetView>
  </sheetViews>
  <sheetFormatPr defaultColWidth="9.140625" defaultRowHeight="18.75"/>
  <cols>
    <col min="1" max="1" width="3.7109375" style="17" customWidth="1"/>
    <col min="2" max="8" width="13.42578125" style="17" customWidth="1"/>
    <col min="9" max="9" width="9.140625" style="17"/>
    <col min="10" max="10" width="12.42578125" style="17" bestFit="1" customWidth="1"/>
    <col min="11" max="16384" width="9.140625" style="17"/>
  </cols>
  <sheetData>
    <row r="1" spans="1:22" s="19" customFormat="1" ht="24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</row>
    <row r="2" spans="1:22" s="19" customFormat="1" ht="22.5"/>
    <row r="3" spans="1:22" s="19" customFormat="1" ht="22.5"/>
    <row r="4" spans="1:22" s="19" customFormat="1" ht="22.5"/>
    <row r="23" spans="1:8" ht="29.45" customHeight="1"/>
    <row r="24" spans="1:8" ht="39" customHeight="1">
      <c r="A24" s="93" t="s">
        <v>0</v>
      </c>
      <c r="B24" s="94"/>
      <c r="C24" s="94"/>
      <c r="D24" s="94"/>
      <c r="E24" s="94"/>
      <c r="F24" s="94"/>
      <c r="G24" s="94"/>
      <c r="H24" s="94"/>
    </row>
    <row r="25" spans="1:8" ht="39" customHeight="1">
      <c r="A25" s="93" t="s">
        <v>193</v>
      </c>
      <c r="B25" s="94"/>
      <c r="C25" s="94"/>
      <c r="D25" s="94"/>
      <c r="E25" s="94"/>
      <c r="F25" s="94"/>
      <c r="G25" s="94"/>
      <c r="H25" s="94"/>
    </row>
    <row r="26" spans="1:8" ht="39" customHeight="1">
      <c r="A26" s="93" t="s">
        <v>192</v>
      </c>
      <c r="B26" s="94"/>
      <c r="C26" s="94"/>
      <c r="D26" s="94"/>
      <c r="E26" s="94"/>
      <c r="F26" s="94"/>
      <c r="G26" s="94"/>
      <c r="H26" s="94"/>
    </row>
    <row r="27" spans="1:8" ht="39" customHeight="1">
      <c r="A27" s="93" t="s">
        <v>264</v>
      </c>
      <c r="B27" s="94"/>
      <c r="C27" s="94"/>
      <c r="D27" s="94"/>
      <c r="E27" s="94"/>
      <c r="F27" s="94"/>
      <c r="G27" s="94"/>
      <c r="H27" s="94"/>
    </row>
    <row r="32" spans="1:8" s="18" customFormat="1" ht="22.5">
      <c r="B32" s="17"/>
      <c r="C32" s="17"/>
      <c r="D32" s="17"/>
      <c r="E32" s="17"/>
      <c r="F32" s="17"/>
      <c r="G32" s="17"/>
      <c r="H32" s="17"/>
    </row>
    <row r="33" spans="1:8" s="18" customFormat="1" ht="22.5">
      <c r="B33" s="17"/>
      <c r="C33" s="17"/>
      <c r="D33" s="17"/>
      <c r="E33" s="17"/>
      <c r="F33" s="17"/>
      <c r="G33" s="17"/>
      <c r="H33" s="17"/>
    </row>
    <row r="36" spans="1:8">
      <c r="A36" s="17" t="s">
        <v>191</v>
      </c>
    </row>
  </sheetData>
  <mergeCells count="4">
    <mergeCell ref="A24:H24"/>
    <mergeCell ref="A25:H25"/>
    <mergeCell ref="A26:H26"/>
    <mergeCell ref="A27:H27"/>
  </mergeCells>
  <pageMargins left="0.7" right="0.7" top="0.75" bottom="0.75" header="0.3" footer="0.3"/>
  <pageSetup paperSize="9" scale="91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  <pageSetUpPr fitToPage="1"/>
  </sheetPr>
  <dimension ref="A1:H15"/>
  <sheetViews>
    <sheetView rightToLeft="1" view="pageBreakPreview" zoomScale="130" zoomScaleNormal="100" zoomScaleSheetLayoutView="130" workbookViewId="0">
      <selection activeCell="I24" sqref="I24"/>
    </sheetView>
  </sheetViews>
  <sheetFormatPr defaultRowHeight="12.75"/>
  <cols>
    <col min="1" max="1" width="41.5703125" customWidth="1"/>
    <col min="2" max="2" width="1.28515625" customWidth="1"/>
    <col min="3" max="3" width="19.42578125" customWidth="1"/>
    <col min="4" max="4" width="1.28515625" customWidth="1"/>
    <col min="5" max="5" width="19.42578125" customWidth="1"/>
    <col min="6" max="6" width="0.28515625" customWidth="1"/>
  </cols>
  <sheetData>
    <row r="1" spans="1:8" ht="29.1" customHeight="1">
      <c r="A1" s="95" t="str">
        <f>سهام!A1</f>
        <v>صندوق سرمایه گذاری افق دماوند</v>
      </c>
      <c r="B1" s="95"/>
      <c r="C1" s="95"/>
      <c r="D1" s="95"/>
      <c r="E1" s="95"/>
    </row>
    <row r="2" spans="1:8" ht="21.75" customHeight="1">
      <c r="A2" s="95" t="s">
        <v>77</v>
      </c>
      <c r="B2" s="95"/>
      <c r="C2" s="95"/>
      <c r="D2" s="95"/>
      <c r="E2" s="95"/>
    </row>
    <row r="3" spans="1:8" ht="21.75" customHeight="1">
      <c r="A3" s="95" t="str">
        <f>سهام!A3</f>
        <v>برای ماه منتهی به 1404/10/30</v>
      </c>
      <c r="B3" s="95"/>
      <c r="C3" s="95"/>
      <c r="D3" s="95"/>
      <c r="E3" s="95"/>
    </row>
    <row r="4" spans="1:8" ht="14.45" customHeight="1"/>
    <row r="5" spans="1:8" ht="29.1" customHeight="1">
      <c r="A5" s="96" t="s">
        <v>247</v>
      </c>
      <c r="B5" s="96"/>
      <c r="C5" s="96"/>
      <c r="D5" s="96"/>
      <c r="E5" s="96"/>
    </row>
    <row r="6" spans="1:8" ht="14.45" customHeight="1">
      <c r="C6" s="2" t="s">
        <v>92</v>
      </c>
      <c r="E6" s="2" t="s">
        <v>266</v>
      </c>
    </row>
    <row r="7" spans="1:8" ht="14.45" customHeight="1">
      <c r="A7" s="23" t="s">
        <v>91</v>
      </c>
      <c r="C7" s="4" t="s">
        <v>74</v>
      </c>
      <c r="E7" s="4" t="s">
        <v>74</v>
      </c>
    </row>
    <row r="8" spans="1:8" ht="21.75" customHeight="1">
      <c r="A8" s="32" t="s">
        <v>91</v>
      </c>
      <c r="B8" s="35"/>
      <c r="C8" s="41">
        <v>0</v>
      </c>
      <c r="D8" s="35"/>
      <c r="E8" s="41">
        <v>642367231</v>
      </c>
    </row>
    <row r="9" spans="1:8" ht="21.75" customHeight="1">
      <c r="A9" s="33" t="s">
        <v>142</v>
      </c>
      <c r="B9" s="35"/>
      <c r="C9" s="41">
        <v>438117631</v>
      </c>
      <c r="D9" s="35"/>
      <c r="E9" s="41">
        <v>1601968079</v>
      </c>
    </row>
    <row r="10" spans="1:8" ht="21.75" customHeight="1" thickBot="1">
      <c r="A10" s="24"/>
      <c r="B10" s="35"/>
      <c r="C10" s="80">
        <f>SUM(C8:C9)</f>
        <v>438117631</v>
      </c>
      <c r="D10" s="35"/>
      <c r="E10" s="80">
        <f>SUM(E8:E9)</f>
        <v>2244335310</v>
      </c>
    </row>
    <row r="11" spans="1:8" ht="13.5" thickTop="1">
      <c r="C11" s="45"/>
    </row>
    <row r="12" spans="1:8">
      <c r="C12" s="45"/>
      <c r="E12" s="45"/>
    </row>
    <row r="15" spans="1:8">
      <c r="H15" t="s">
        <v>254</v>
      </c>
    </row>
  </sheetData>
  <mergeCells count="4">
    <mergeCell ref="A5:E5"/>
    <mergeCell ref="A1:E1"/>
    <mergeCell ref="A2:E2"/>
    <mergeCell ref="A3:E3"/>
  </mergeCells>
  <pageMargins left="0.39" right="0.39" top="0.39" bottom="0.39" header="0" footer="0"/>
  <pageSetup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  <pageSetUpPr fitToPage="1"/>
  </sheetPr>
  <dimension ref="A1:S43"/>
  <sheetViews>
    <sheetView rightToLeft="1" view="pageBreakPreview" zoomScale="112" zoomScaleNormal="100" zoomScaleSheetLayoutView="112" workbookViewId="0">
      <selection activeCell="I40" sqref="I40"/>
    </sheetView>
  </sheetViews>
  <sheetFormatPr defaultRowHeight="12.75"/>
  <cols>
    <col min="1" max="1" width="29.85546875" customWidth="1"/>
    <col min="2" max="2" width="1.28515625" customWidth="1"/>
    <col min="3" max="3" width="16.85546875" customWidth="1"/>
    <col min="4" max="4" width="1.28515625" customWidth="1"/>
    <col min="5" max="5" width="28.140625" bestFit="1" customWidth="1"/>
    <col min="6" max="6" width="1.28515625" customWidth="1"/>
    <col min="7" max="7" width="18.85546875" bestFit="1" customWidth="1"/>
    <col min="8" max="8" width="1.28515625" customWidth="1"/>
    <col min="9" max="9" width="19.140625" bestFit="1" customWidth="1"/>
    <col min="10" max="10" width="1.28515625" customWidth="1"/>
    <col min="11" max="11" width="12.85546875" bestFit="1" customWidth="1"/>
    <col min="12" max="12" width="1.28515625" customWidth="1"/>
    <col min="13" max="13" width="20.140625" bestFit="1" customWidth="1"/>
    <col min="14" max="14" width="1.28515625" customWidth="1"/>
    <col min="15" max="15" width="19.140625" bestFit="1" customWidth="1"/>
    <col min="16" max="16" width="1.28515625" customWidth="1"/>
    <col min="17" max="17" width="17.5703125" customWidth="1"/>
    <col min="18" max="18" width="1.28515625" customWidth="1"/>
    <col min="19" max="19" width="20.140625" bestFit="1" customWidth="1"/>
    <col min="20" max="20" width="0.28515625" customWidth="1"/>
  </cols>
  <sheetData>
    <row r="1" spans="1:19" ht="29.1" customHeight="1">
      <c r="A1" s="95" t="str">
        <f>سهام!A1</f>
        <v>صندوق سرمایه گذاری افق دماوند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</row>
    <row r="2" spans="1:19" ht="21.75" customHeight="1">
      <c r="A2" s="95" t="s">
        <v>77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</row>
    <row r="3" spans="1:19" ht="21.75" customHeight="1">
      <c r="A3" s="95" t="str">
        <f>سهام!A3</f>
        <v>برای ماه منتهی به 1404/10/30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</row>
    <row r="4" spans="1:19" ht="14.45" customHeight="1"/>
    <row r="5" spans="1:19" ht="14.45" customHeight="1">
      <c r="A5" s="109" t="s">
        <v>95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</row>
    <row r="6" spans="1:19" ht="14.45" customHeight="1">
      <c r="A6" s="97" t="s">
        <v>49</v>
      </c>
      <c r="C6" s="97" t="s">
        <v>143</v>
      </c>
      <c r="D6" s="97"/>
      <c r="E6" s="97"/>
      <c r="F6" s="97"/>
      <c r="G6" s="97"/>
      <c r="I6" s="97" t="s">
        <v>92</v>
      </c>
      <c r="J6" s="97"/>
      <c r="K6" s="97"/>
      <c r="L6" s="97"/>
      <c r="M6" s="97"/>
      <c r="O6" s="97" t="s">
        <v>93</v>
      </c>
      <c r="P6" s="97"/>
      <c r="Q6" s="97"/>
      <c r="R6" s="97"/>
      <c r="S6" s="97"/>
    </row>
    <row r="7" spans="1:19" ht="29.1" customHeight="1">
      <c r="A7" s="97"/>
      <c r="C7" s="8" t="s">
        <v>144</v>
      </c>
      <c r="D7" s="3"/>
      <c r="E7" s="8" t="s">
        <v>145</v>
      </c>
      <c r="F7" s="3"/>
      <c r="G7" s="8" t="s">
        <v>146</v>
      </c>
      <c r="I7" s="8" t="s">
        <v>147</v>
      </c>
      <c r="J7" s="3"/>
      <c r="K7" s="8" t="s">
        <v>148</v>
      </c>
      <c r="L7" s="3"/>
      <c r="M7" s="8" t="s">
        <v>149</v>
      </c>
      <c r="O7" s="8" t="s">
        <v>147</v>
      </c>
      <c r="P7" s="3"/>
      <c r="Q7" s="8" t="s">
        <v>148</v>
      </c>
      <c r="R7" s="3"/>
      <c r="S7" s="8" t="s">
        <v>149</v>
      </c>
    </row>
    <row r="8" spans="1:19" ht="21.75" customHeight="1">
      <c r="A8" s="36" t="s">
        <v>109</v>
      </c>
      <c r="B8" s="35"/>
      <c r="C8" s="36" t="s">
        <v>170</v>
      </c>
      <c r="D8" s="35"/>
      <c r="E8" s="38">
        <v>220000</v>
      </c>
      <c r="F8" s="35"/>
      <c r="G8" s="38">
        <v>100</v>
      </c>
      <c r="H8" s="9"/>
      <c r="I8" s="48">
        <v>0</v>
      </c>
      <c r="J8" s="25"/>
      <c r="K8" s="48">
        <v>0</v>
      </c>
      <c r="L8" s="25"/>
      <c r="M8" s="48">
        <v>0</v>
      </c>
      <c r="N8" s="25"/>
      <c r="O8" s="56">
        <v>22000000</v>
      </c>
      <c r="P8" s="25"/>
      <c r="Q8" s="49">
        <v>0</v>
      </c>
      <c r="R8" s="25"/>
      <c r="S8" s="49">
        <f>O8-Q8</f>
        <v>22000000</v>
      </c>
    </row>
    <row r="9" spans="1:19" ht="21.75" customHeight="1">
      <c r="A9" s="39" t="s">
        <v>99</v>
      </c>
      <c r="B9" s="35"/>
      <c r="C9" s="39" t="s">
        <v>151</v>
      </c>
      <c r="D9" s="35"/>
      <c r="E9" s="41">
        <v>3388507</v>
      </c>
      <c r="F9" s="35"/>
      <c r="G9" s="41">
        <v>35</v>
      </c>
      <c r="H9" s="9"/>
      <c r="I9" s="49">
        <v>0</v>
      </c>
      <c r="J9" s="25"/>
      <c r="K9" s="49">
        <v>0</v>
      </c>
      <c r="L9" s="25"/>
      <c r="M9" s="49">
        <v>0</v>
      </c>
      <c r="N9" s="25"/>
      <c r="O9" s="56">
        <v>118597745</v>
      </c>
      <c r="P9" s="25"/>
      <c r="Q9" s="49">
        <v>0</v>
      </c>
      <c r="R9" s="25"/>
      <c r="S9" s="49">
        <f t="shared" ref="S9:S41" si="0">O9-Q9</f>
        <v>118597745</v>
      </c>
    </row>
    <row r="10" spans="1:19" ht="21.75" customHeight="1">
      <c r="A10" s="39" t="s">
        <v>122</v>
      </c>
      <c r="B10" s="35"/>
      <c r="C10" s="39" t="s">
        <v>154</v>
      </c>
      <c r="D10" s="35"/>
      <c r="E10" s="41">
        <v>1750000</v>
      </c>
      <c r="F10" s="35"/>
      <c r="G10" s="41">
        <v>400</v>
      </c>
      <c r="H10" s="9"/>
      <c r="I10" s="49">
        <v>0</v>
      </c>
      <c r="J10" s="25"/>
      <c r="K10" s="49">
        <v>0</v>
      </c>
      <c r="L10" s="25"/>
      <c r="M10" s="49">
        <v>0</v>
      </c>
      <c r="N10" s="25"/>
      <c r="O10" s="56">
        <v>700000000</v>
      </c>
      <c r="P10" s="25"/>
      <c r="Q10" s="49">
        <v>0</v>
      </c>
      <c r="R10" s="25"/>
      <c r="S10" s="49">
        <f t="shared" si="0"/>
        <v>700000000</v>
      </c>
    </row>
    <row r="11" spans="1:19" ht="21.75" customHeight="1">
      <c r="A11" s="39" t="s">
        <v>117</v>
      </c>
      <c r="B11" s="35"/>
      <c r="C11" s="39" t="s">
        <v>159</v>
      </c>
      <c r="D11" s="35"/>
      <c r="E11" s="41">
        <v>186134158</v>
      </c>
      <c r="F11" s="35"/>
      <c r="G11" s="41">
        <v>15</v>
      </c>
      <c r="H11" s="9"/>
      <c r="I11" s="49">
        <v>0</v>
      </c>
      <c r="J11" s="25"/>
      <c r="K11" s="49">
        <v>0</v>
      </c>
      <c r="L11" s="25"/>
      <c r="M11" s="49">
        <v>0</v>
      </c>
      <c r="N11" s="25"/>
      <c r="O11" s="56">
        <v>2792012370</v>
      </c>
      <c r="P11" s="25"/>
      <c r="Q11" s="49">
        <v>0</v>
      </c>
      <c r="R11" s="25"/>
      <c r="S11" s="49">
        <f t="shared" si="0"/>
        <v>2792012370</v>
      </c>
    </row>
    <row r="12" spans="1:19" ht="21.75" customHeight="1">
      <c r="A12" s="39" t="s">
        <v>126</v>
      </c>
      <c r="B12" s="35"/>
      <c r="C12" s="39" t="s">
        <v>150</v>
      </c>
      <c r="D12" s="35"/>
      <c r="E12" s="41">
        <v>1300000</v>
      </c>
      <c r="F12" s="35"/>
      <c r="G12" s="41">
        <v>2280</v>
      </c>
      <c r="H12" s="9"/>
      <c r="I12" s="49">
        <v>0</v>
      </c>
      <c r="J12" s="25"/>
      <c r="K12" s="49">
        <v>0</v>
      </c>
      <c r="L12" s="25"/>
      <c r="M12" s="49">
        <v>0</v>
      </c>
      <c r="N12" s="25"/>
      <c r="O12" s="56">
        <v>2964000000</v>
      </c>
      <c r="P12" s="25"/>
      <c r="Q12" s="49">
        <v>0</v>
      </c>
      <c r="R12" s="25"/>
      <c r="S12" s="49">
        <f t="shared" si="0"/>
        <v>2964000000</v>
      </c>
    </row>
    <row r="13" spans="1:19" ht="21.75" customHeight="1">
      <c r="A13" s="39" t="s">
        <v>17</v>
      </c>
      <c r="B13" s="35"/>
      <c r="C13" s="39" t="s">
        <v>159</v>
      </c>
      <c r="D13" s="35"/>
      <c r="E13" s="41">
        <v>2200000</v>
      </c>
      <c r="F13" s="35"/>
      <c r="G13" s="41">
        <v>500</v>
      </c>
      <c r="H13" s="9"/>
      <c r="I13" s="49">
        <v>0</v>
      </c>
      <c r="J13" s="25"/>
      <c r="K13" s="49">
        <v>0</v>
      </c>
      <c r="L13" s="25"/>
      <c r="M13" s="49">
        <v>0</v>
      </c>
      <c r="N13" s="25"/>
      <c r="O13" s="56">
        <v>1100000000</v>
      </c>
      <c r="P13" s="25"/>
      <c r="Q13" s="49">
        <v>0</v>
      </c>
      <c r="R13" s="25"/>
      <c r="S13" s="49">
        <f t="shared" si="0"/>
        <v>1100000000</v>
      </c>
    </row>
    <row r="14" spans="1:19" ht="21.75" customHeight="1">
      <c r="A14" s="39" t="s">
        <v>18</v>
      </c>
      <c r="B14" s="35"/>
      <c r="C14" s="39" t="s">
        <v>159</v>
      </c>
      <c r="D14" s="35"/>
      <c r="E14" s="41">
        <v>5200000</v>
      </c>
      <c r="F14" s="35"/>
      <c r="G14" s="41">
        <v>160</v>
      </c>
      <c r="H14" s="9"/>
      <c r="I14" s="49">
        <v>0</v>
      </c>
      <c r="J14" s="25"/>
      <c r="K14" s="49">
        <v>0</v>
      </c>
      <c r="L14" s="25"/>
      <c r="M14" s="49">
        <v>0</v>
      </c>
      <c r="N14" s="25"/>
      <c r="O14" s="56">
        <v>832000000</v>
      </c>
      <c r="P14" s="25"/>
      <c r="Q14" s="49">
        <v>0</v>
      </c>
      <c r="R14" s="25"/>
      <c r="S14" s="49">
        <f t="shared" si="0"/>
        <v>832000000</v>
      </c>
    </row>
    <row r="15" spans="1:19" ht="21.75" customHeight="1">
      <c r="A15" s="39" t="s">
        <v>19</v>
      </c>
      <c r="B15" s="35"/>
      <c r="C15" s="39" t="s">
        <v>160</v>
      </c>
      <c r="D15" s="35"/>
      <c r="E15" s="41">
        <v>611647</v>
      </c>
      <c r="F15" s="35"/>
      <c r="G15" s="41">
        <v>38000</v>
      </c>
      <c r="H15" s="9"/>
      <c r="I15" s="49">
        <v>0</v>
      </c>
      <c r="J15" s="25"/>
      <c r="K15" s="49">
        <v>0</v>
      </c>
      <c r="L15" s="25"/>
      <c r="M15" s="49">
        <v>0</v>
      </c>
      <c r="N15" s="25"/>
      <c r="O15" s="56">
        <v>6419776000</v>
      </c>
      <c r="P15" s="25"/>
      <c r="Q15" s="49">
        <v>86753730</v>
      </c>
      <c r="R15" s="25"/>
      <c r="S15" s="49">
        <f t="shared" si="0"/>
        <v>6333022270</v>
      </c>
    </row>
    <row r="16" spans="1:19" ht="21.75" customHeight="1">
      <c r="A16" s="39" t="s">
        <v>19</v>
      </c>
      <c r="B16" s="35"/>
      <c r="C16" s="39" t="s">
        <v>262</v>
      </c>
      <c r="D16" s="35"/>
      <c r="E16" s="41">
        <v>583616</v>
      </c>
      <c r="F16" s="35"/>
      <c r="G16" s="41">
        <v>11000</v>
      </c>
      <c r="H16" s="9"/>
      <c r="I16" s="49">
        <v>0</v>
      </c>
      <c r="J16" s="25"/>
      <c r="K16" s="49">
        <v>0</v>
      </c>
      <c r="L16" s="25"/>
      <c r="M16" s="49">
        <v>0</v>
      </c>
      <c r="N16" s="25"/>
      <c r="O16" s="56">
        <v>6419776000</v>
      </c>
      <c r="P16" s="25"/>
      <c r="Q16" s="49">
        <v>86753730</v>
      </c>
      <c r="R16" s="25"/>
      <c r="S16" s="49">
        <f t="shared" si="0"/>
        <v>6333022270</v>
      </c>
    </row>
    <row r="17" spans="1:19" ht="21.75" customHeight="1">
      <c r="A17" s="39" t="s">
        <v>20</v>
      </c>
      <c r="B17" s="35"/>
      <c r="C17" s="39" t="s">
        <v>167</v>
      </c>
      <c r="D17" s="35"/>
      <c r="E17" s="41">
        <v>2287342</v>
      </c>
      <c r="F17" s="35"/>
      <c r="G17" s="41">
        <v>680</v>
      </c>
      <c r="H17" s="9"/>
      <c r="I17" s="49">
        <v>0</v>
      </c>
      <c r="J17" s="25"/>
      <c r="K17" s="49">
        <v>0</v>
      </c>
      <c r="L17" s="25"/>
      <c r="M17" s="49">
        <v>0</v>
      </c>
      <c r="N17" s="25"/>
      <c r="O17" s="56">
        <v>1555392560</v>
      </c>
      <c r="P17" s="25"/>
      <c r="Q17" s="49">
        <v>0</v>
      </c>
      <c r="R17" s="25"/>
      <c r="S17" s="49">
        <f t="shared" si="0"/>
        <v>1555392560</v>
      </c>
    </row>
    <row r="18" spans="1:19" ht="21.75" customHeight="1">
      <c r="A18" s="39" t="s">
        <v>125</v>
      </c>
      <c r="B18" s="35"/>
      <c r="C18" s="39" t="s">
        <v>150</v>
      </c>
      <c r="D18" s="35"/>
      <c r="E18" s="41">
        <v>829585</v>
      </c>
      <c r="F18" s="35"/>
      <c r="G18" s="41">
        <v>4200</v>
      </c>
      <c r="H18" s="9"/>
      <c r="I18" s="49">
        <v>0</v>
      </c>
      <c r="J18" s="25"/>
      <c r="K18" s="49">
        <v>0</v>
      </c>
      <c r="L18" s="25"/>
      <c r="M18" s="49">
        <v>0</v>
      </c>
      <c r="N18" s="25"/>
      <c r="O18" s="56">
        <v>3484257000</v>
      </c>
      <c r="P18" s="25"/>
      <c r="Q18" s="49">
        <v>0</v>
      </c>
      <c r="R18" s="25"/>
      <c r="S18" s="49">
        <f t="shared" si="0"/>
        <v>3484257000</v>
      </c>
    </row>
    <row r="19" spans="1:19" ht="21.75" customHeight="1">
      <c r="A19" s="39" t="s">
        <v>21</v>
      </c>
      <c r="B19" s="35"/>
      <c r="C19" s="39" t="s">
        <v>155</v>
      </c>
      <c r="D19" s="35"/>
      <c r="E19" s="41">
        <v>8795966</v>
      </c>
      <c r="F19" s="35"/>
      <c r="G19" s="41">
        <v>500</v>
      </c>
      <c r="H19" s="9"/>
      <c r="I19" s="49">
        <v>0</v>
      </c>
      <c r="J19" s="25"/>
      <c r="K19" s="49">
        <v>0</v>
      </c>
      <c r="L19" s="25"/>
      <c r="M19" s="49">
        <v>0</v>
      </c>
      <c r="N19" s="25"/>
      <c r="O19" s="56">
        <v>4397983000</v>
      </c>
      <c r="P19" s="25"/>
      <c r="Q19" s="49">
        <v>0</v>
      </c>
      <c r="R19" s="25"/>
      <c r="S19" s="49">
        <f t="shared" si="0"/>
        <v>4397983000</v>
      </c>
    </row>
    <row r="20" spans="1:19" ht="21.75" customHeight="1">
      <c r="A20" s="39" t="s">
        <v>22</v>
      </c>
      <c r="B20" s="35"/>
      <c r="C20" s="39" t="s">
        <v>155</v>
      </c>
      <c r="D20" s="35"/>
      <c r="E20" s="41">
        <v>3487226</v>
      </c>
      <c r="F20" s="35"/>
      <c r="G20" s="41">
        <v>3400</v>
      </c>
      <c r="H20" s="9"/>
      <c r="I20" s="49">
        <v>0</v>
      </c>
      <c r="J20" s="25"/>
      <c r="K20" s="49">
        <v>0</v>
      </c>
      <c r="L20" s="25"/>
      <c r="M20" s="49">
        <v>0</v>
      </c>
      <c r="N20" s="25"/>
      <c r="O20" s="56">
        <v>11856568400</v>
      </c>
      <c r="P20" s="25"/>
      <c r="Q20" s="49">
        <v>0</v>
      </c>
      <c r="R20" s="25"/>
      <c r="S20" s="49">
        <f t="shared" si="0"/>
        <v>11856568400</v>
      </c>
    </row>
    <row r="21" spans="1:19" ht="21.75" customHeight="1">
      <c r="A21" s="39" t="s">
        <v>24</v>
      </c>
      <c r="B21" s="35"/>
      <c r="C21" s="39" t="s">
        <v>152</v>
      </c>
      <c r="D21" s="35"/>
      <c r="E21" s="41">
        <v>1887812</v>
      </c>
      <c r="F21" s="35"/>
      <c r="G21" s="41">
        <v>4984</v>
      </c>
      <c r="H21" s="9"/>
      <c r="I21" s="49">
        <v>0</v>
      </c>
      <c r="J21" s="25"/>
      <c r="K21" s="49">
        <v>0</v>
      </c>
      <c r="L21" s="25"/>
      <c r="M21" s="49">
        <v>0</v>
      </c>
      <c r="N21" s="25"/>
      <c r="O21" s="56">
        <v>9408855008</v>
      </c>
      <c r="P21" s="25"/>
      <c r="Q21" s="49">
        <v>0</v>
      </c>
      <c r="R21" s="25"/>
      <c r="S21" s="49">
        <f t="shared" si="0"/>
        <v>9408855008</v>
      </c>
    </row>
    <row r="22" spans="1:19" ht="21.75" customHeight="1">
      <c r="A22" s="39" t="s">
        <v>102</v>
      </c>
      <c r="B22" s="35"/>
      <c r="C22" s="39" t="s">
        <v>165</v>
      </c>
      <c r="D22" s="35"/>
      <c r="E22" s="41">
        <v>6635066</v>
      </c>
      <c r="F22" s="35"/>
      <c r="G22" s="41">
        <v>900</v>
      </c>
      <c r="H22" s="9"/>
      <c r="I22" s="49">
        <v>0</v>
      </c>
      <c r="J22" s="25"/>
      <c r="K22" s="49">
        <v>0</v>
      </c>
      <c r="L22" s="25"/>
      <c r="M22" s="49">
        <v>0</v>
      </c>
      <c r="N22" s="25"/>
      <c r="O22" s="56">
        <v>5971559400</v>
      </c>
      <c r="P22" s="25"/>
      <c r="Q22" s="49">
        <v>0</v>
      </c>
      <c r="R22" s="25"/>
      <c r="S22" s="49">
        <f t="shared" si="0"/>
        <v>5971559400</v>
      </c>
    </row>
    <row r="23" spans="1:19" ht="21.75" customHeight="1">
      <c r="A23" s="39" t="s">
        <v>127</v>
      </c>
      <c r="B23" s="35"/>
      <c r="C23" s="39" t="s">
        <v>150</v>
      </c>
      <c r="D23" s="35"/>
      <c r="E23" s="41">
        <v>1485120</v>
      </c>
      <c r="F23" s="35"/>
      <c r="G23" s="41">
        <v>1000</v>
      </c>
      <c r="H23" s="9"/>
      <c r="I23" s="49">
        <v>0</v>
      </c>
      <c r="J23" s="25"/>
      <c r="K23" s="49">
        <v>0</v>
      </c>
      <c r="L23" s="25"/>
      <c r="M23" s="49">
        <v>0</v>
      </c>
      <c r="N23" s="25"/>
      <c r="O23" s="56">
        <v>1485120000</v>
      </c>
      <c r="P23" s="25"/>
      <c r="Q23" s="49">
        <v>0</v>
      </c>
      <c r="R23" s="25"/>
      <c r="S23" s="49">
        <f t="shared" si="0"/>
        <v>1485120000</v>
      </c>
    </row>
    <row r="24" spans="1:19" ht="21.75" customHeight="1">
      <c r="A24" s="39" t="s">
        <v>28</v>
      </c>
      <c r="B24" s="35"/>
      <c r="C24" s="39" t="s">
        <v>162</v>
      </c>
      <c r="D24" s="35"/>
      <c r="E24" s="41">
        <v>3918545</v>
      </c>
      <c r="F24" s="35"/>
      <c r="G24" s="41">
        <v>1250</v>
      </c>
      <c r="H24" s="9"/>
      <c r="I24" s="49">
        <v>0</v>
      </c>
      <c r="J24" s="25"/>
      <c r="K24" s="49">
        <v>0</v>
      </c>
      <c r="L24" s="25"/>
      <c r="M24" s="49">
        <v>0</v>
      </c>
      <c r="N24" s="25"/>
      <c r="O24" s="56">
        <v>4898181250</v>
      </c>
      <c r="P24" s="25"/>
      <c r="Q24" s="49">
        <v>0</v>
      </c>
      <c r="R24" s="25"/>
      <c r="S24" s="49">
        <f t="shared" si="0"/>
        <v>4898181250</v>
      </c>
    </row>
    <row r="25" spans="1:19" ht="21.75" customHeight="1">
      <c r="A25" s="39" t="s">
        <v>26</v>
      </c>
      <c r="B25" s="35"/>
      <c r="C25" s="39" t="s">
        <v>161</v>
      </c>
      <c r="D25" s="35"/>
      <c r="E25" s="41">
        <v>14629190</v>
      </c>
      <c r="F25" s="35"/>
      <c r="G25" s="41">
        <v>1600</v>
      </c>
      <c r="H25" s="9"/>
      <c r="I25" s="49">
        <v>0</v>
      </c>
      <c r="J25" s="25"/>
      <c r="K25" s="49">
        <v>0</v>
      </c>
      <c r="L25" s="25"/>
      <c r="M25" s="49">
        <v>0</v>
      </c>
      <c r="N25" s="25"/>
      <c r="O25" s="56">
        <v>23406704000</v>
      </c>
      <c r="P25" s="25"/>
      <c r="Q25" s="49">
        <v>0</v>
      </c>
      <c r="R25" s="25"/>
      <c r="S25" s="49">
        <f t="shared" si="0"/>
        <v>23406704000</v>
      </c>
    </row>
    <row r="26" spans="1:19" ht="21.75" customHeight="1">
      <c r="A26" s="39" t="s">
        <v>27</v>
      </c>
      <c r="B26" s="35"/>
      <c r="C26" s="39" t="s">
        <v>171</v>
      </c>
      <c r="D26" s="35"/>
      <c r="E26" s="41">
        <v>33740435</v>
      </c>
      <c r="F26" s="35"/>
      <c r="G26" s="41">
        <v>50</v>
      </c>
      <c r="H26" s="9"/>
      <c r="I26" s="49">
        <v>0</v>
      </c>
      <c r="J26" s="25"/>
      <c r="K26" s="49">
        <v>0</v>
      </c>
      <c r="L26" s="25"/>
      <c r="M26" s="49">
        <v>0</v>
      </c>
      <c r="N26" s="25"/>
      <c r="O26" s="56">
        <v>1687021750</v>
      </c>
      <c r="P26" s="25"/>
      <c r="Q26" s="49">
        <v>0</v>
      </c>
      <c r="R26" s="25"/>
      <c r="S26" s="49">
        <f t="shared" si="0"/>
        <v>1687021750</v>
      </c>
    </row>
    <row r="27" spans="1:19" ht="21.75" customHeight="1">
      <c r="A27" s="39" t="s">
        <v>29</v>
      </c>
      <c r="B27" s="35"/>
      <c r="C27" s="39" t="s">
        <v>153</v>
      </c>
      <c r="D27" s="35"/>
      <c r="E27" s="41">
        <v>10091033</v>
      </c>
      <c r="F27" s="35"/>
      <c r="G27" s="41">
        <v>600</v>
      </c>
      <c r="H27" s="9"/>
      <c r="I27" s="49">
        <v>0</v>
      </c>
      <c r="J27" s="25"/>
      <c r="K27" s="49">
        <v>0</v>
      </c>
      <c r="L27" s="25"/>
      <c r="M27" s="49">
        <v>0</v>
      </c>
      <c r="N27" s="25"/>
      <c r="O27" s="56">
        <v>6054619800</v>
      </c>
      <c r="P27" s="25"/>
      <c r="Q27" s="49">
        <v>0</v>
      </c>
      <c r="R27" s="25"/>
      <c r="S27" s="49">
        <f t="shared" si="0"/>
        <v>6054619800</v>
      </c>
    </row>
    <row r="28" spans="1:19" ht="21.75" customHeight="1">
      <c r="A28" s="39" t="s">
        <v>31</v>
      </c>
      <c r="B28" s="35"/>
      <c r="C28" s="39" t="s">
        <v>2</v>
      </c>
      <c r="D28" s="35"/>
      <c r="E28" s="41">
        <v>33579476</v>
      </c>
      <c r="F28" s="35"/>
      <c r="G28" s="41">
        <v>190</v>
      </c>
      <c r="H28" s="9"/>
      <c r="I28" s="49">
        <v>0</v>
      </c>
      <c r="J28" s="25"/>
      <c r="K28" s="49">
        <v>0</v>
      </c>
      <c r="L28" s="25"/>
      <c r="M28" s="49">
        <v>0</v>
      </c>
      <c r="N28" s="25"/>
      <c r="O28" s="56">
        <v>6380100440</v>
      </c>
      <c r="P28" s="25"/>
      <c r="Q28" s="49">
        <v>0</v>
      </c>
      <c r="R28" s="25"/>
      <c r="S28" s="49">
        <f t="shared" si="0"/>
        <v>6380100440</v>
      </c>
    </row>
    <row r="29" spans="1:19" ht="21.75" customHeight="1">
      <c r="A29" s="39" t="s">
        <v>100</v>
      </c>
      <c r="B29" s="35"/>
      <c r="C29" s="39" t="s">
        <v>157</v>
      </c>
      <c r="D29" s="35"/>
      <c r="E29" s="41">
        <v>194</v>
      </c>
      <c r="F29" s="35"/>
      <c r="G29" s="41">
        <v>6810</v>
      </c>
      <c r="H29" s="9"/>
      <c r="I29" s="49">
        <v>0</v>
      </c>
      <c r="J29" s="25"/>
      <c r="K29" s="49">
        <v>0</v>
      </c>
      <c r="L29" s="25"/>
      <c r="M29" s="49">
        <v>0</v>
      </c>
      <c r="N29" s="25"/>
      <c r="O29" s="56">
        <v>1321140</v>
      </c>
      <c r="P29" s="25"/>
      <c r="Q29" s="49">
        <v>0</v>
      </c>
      <c r="R29" s="25"/>
      <c r="S29" s="49">
        <f t="shared" si="0"/>
        <v>1321140</v>
      </c>
    </row>
    <row r="30" spans="1:19" ht="21.75" customHeight="1">
      <c r="A30" s="39" t="s">
        <v>121</v>
      </c>
      <c r="B30" s="35"/>
      <c r="C30" s="39" t="s">
        <v>166</v>
      </c>
      <c r="D30" s="35"/>
      <c r="E30" s="41">
        <v>1700440</v>
      </c>
      <c r="F30" s="35"/>
      <c r="G30" s="41">
        <v>1076</v>
      </c>
      <c r="H30" s="9"/>
      <c r="I30" s="49">
        <v>0</v>
      </c>
      <c r="J30" s="25"/>
      <c r="K30" s="49">
        <v>0</v>
      </c>
      <c r="L30" s="25"/>
      <c r="M30" s="49">
        <v>0</v>
      </c>
      <c r="N30" s="25"/>
      <c r="O30" s="56">
        <v>1829673440</v>
      </c>
      <c r="P30" s="25"/>
      <c r="Q30" s="49">
        <v>0</v>
      </c>
      <c r="R30" s="25"/>
      <c r="S30" s="49">
        <f t="shared" si="0"/>
        <v>1829673440</v>
      </c>
    </row>
    <row r="31" spans="1:19" ht="21.75" customHeight="1">
      <c r="A31" s="39" t="s">
        <v>120</v>
      </c>
      <c r="B31" s="35"/>
      <c r="C31" s="39" t="s">
        <v>169</v>
      </c>
      <c r="D31" s="35"/>
      <c r="E31" s="41">
        <v>4800000</v>
      </c>
      <c r="F31" s="35"/>
      <c r="G31" s="41">
        <v>560</v>
      </c>
      <c r="H31" s="9"/>
      <c r="I31" s="49">
        <v>0</v>
      </c>
      <c r="J31" s="25"/>
      <c r="K31" s="49">
        <v>0</v>
      </c>
      <c r="L31" s="25"/>
      <c r="M31" s="49">
        <v>0</v>
      </c>
      <c r="N31" s="25"/>
      <c r="O31" s="56">
        <v>2688000000</v>
      </c>
      <c r="P31" s="25"/>
      <c r="Q31" s="49">
        <v>0</v>
      </c>
      <c r="R31" s="25"/>
      <c r="S31" s="49">
        <f t="shared" si="0"/>
        <v>2688000000</v>
      </c>
    </row>
    <row r="32" spans="1:19" ht="21.75" customHeight="1">
      <c r="A32" s="39" t="s">
        <v>33</v>
      </c>
      <c r="B32" s="35"/>
      <c r="C32" s="39" t="s">
        <v>2</v>
      </c>
      <c r="D32" s="35"/>
      <c r="E32" s="41">
        <v>67848870</v>
      </c>
      <c r="F32" s="35"/>
      <c r="G32" s="41">
        <v>510</v>
      </c>
      <c r="H32" s="9"/>
      <c r="I32" s="49">
        <v>0</v>
      </c>
      <c r="J32" s="25"/>
      <c r="K32" s="49">
        <v>0</v>
      </c>
      <c r="L32" s="25"/>
      <c r="M32" s="49">
        <v>0</v>
      </c>
      <c r="N32" s="25"/>
      <c r="O32" s="56">
        <v>34602923700</v>
      </c>
      <c r="P32" s="25"/>
      <c r="Q32" s="49">
        <v>0</v>
      </c>
      <c r="R32" s="25"/>
      <c r="S32" s="49">
        <f t="shared" si="0"/>
        <v>34602923700</v>
      </c>
    </row>
    <row r="33" spans="1:19" ht="21.75" customHeight="1">
      <c r="A33" s="39" t="s">
        <v>35</v>
      </c>
      <c r="B33" s="35"/>
      <c r="C33" s="39" t="s">
        <v>167</v>
      </c>
      <c r="D33" s="35"/>
      <c r="E33" s="41">
        <v>16617157</v>
      </c>
      <c r="F33" s="35"/>
      <c r="G33" s="41">
        <v>200</v>
      </c>
      <c r="H33" s="9"/>
      <c r="I33" s="49">
        <v>0</v>
      </c>
      <c r="J33" s="25"/>
      <c r="K33" s="49">
        <v>0</v>
      </c>
      <c r="L33" s="25"/>
      <c r="M33" s="49">
        <v>0</v>
      </c>
      <c r="N33" s="25"/>
      <c r="O33" s="56">
        <v>3323431400</v>
      </c>
      <c r="P33" s="25"/>
      <c r="Q33" s="49">
        <v>0</v>
      </c>
      <c r="R33" s="25"/>
      <c r="S33" s="49">
        <f t="shared" si="0"/>
        <v>3323431400</v>
      </c>
    </row>
    <row r="34" spans="1:19" ht="21.75" customHeight="1">
      <c r="A34" s="39" t="s">
        <v>119</v>
      </c>
      <c r="B34" s="35"/>
      <c r="C34" s="39" t="s">
        <v>168</v>
      </c>
      <c r="D34" s="35"/>
      <c r="E34" s="41">
        <v>317986</v>
      </c>
      <c r="F34" s="35"/>
      <c r="G34" s="41">
        <v>37</v>
      </c>
      <c r="H34" s="9"/>
      <c r="I34" s="49">
        <v>0</v>
      </c>
      <c r="J34" s="25"/>
      <c r="K34" s="49">
        <v>0</v>
      </c>
      <c r="L34" s="25"/>
      <c r="M34" s="49">
        <v>0</v>
      </c>
      <c r="N34" s="25"/>
      <c r="O34" s="56">
        <v>11765482</v>
      </c>
      <c r="P34" s="25"/>
      <c r="Q34" s="49">
        <v>0</v>
      </c>
      <c r="R34" s="25"/>
      <c r="S34" s="49">
        <f t="shared" si="0"/>
        <v>11765482</v>
      </c>
    </row>
    <row r="35" spans="1:19" ht="21.75" customHeight="1">
      <c r="A35" s="39" t="s">
        <v>103</v>
      </c>
      <c r="B35" s="35"/>
      <c r="C35" s="39" t="s">
        <v>154</v>
      </c>
      <c r="D35" s="35"/>
      <c r="E35" s="41">
        <v>168421</v>
      </c>
      <c r="F35" s="35"/>
      <c r="G35" s="41">
        <v>670</v>
      </c>
      <c r="H35" s="9"/>
      <c r="I35" s="49">
        <v>0</v>
      </c>
      <c r="J35" s="25"/>
      <c r="K35" s="49">
        <v>0</v>
      </c>
      <c r="L35" s="25"/>
      <c r="M35" s="49">
        <v>0</v>
      </c>
      <c r="N35" s="25"/>
      <c r="O35" s="56">
        <v>112842070</v>
      </c>
      <c r="P35" s="25"/>
      <c r="Q35" s="49">
        <v>0</v>
      </c>
      <c r="R35" s="25"/>
      <c r="S35" s="49">
        <f t="shared" si="0"/>
        <v>112842070</v>
      </c>
    </row>
    <row r="36" spans="1:19" ht="21.75" customHeight="1">
      <c r="A36" s="39" t="s">
        <v>43</v>
      </c>
      <c r="B36" s="35"/>
      <c r="C36" s="39" t="s">
        <v>156</v>
      </c>
      <c r="D36" s="35"/>
      <c r="E36" s="41">
        <v>9823776</v>
      </c>
      <c r="F36" s="35"/>
      <c r="G36" s="41">
        <v>1400</v>
      </c>
      <c r="H36" s="9"/>
      <c r="I36" s="49">
        <v>0</v>
      </c>
      <c r="J36" s="25"/>
      <c r="K36" s="49">
        <v>0</v>
      </c>
      <c r="L36" s="25"/>
      <c r="M36" s="49">
        <v>0</v>
      </c>
      <c r="N36" s="25"/>
      <c r="O36" s="56">
        <v>13753286400</v>
      </c>
      <c r="P36" s="25"/>
      <c r="Q36" s="49">
        <v>0</v>
      </c>
      <c r="R36" s="25"/>
      <c r="S36" s="49">
        <f t="shared" si="0"/>
        <v>13753286400</v>
      </c>
    </row>
    <row r="37" spans="1:19" ht="21.75" customHeight="1">
      <c r="A37" s="39" t="s">
        <v>44</v>
      </c>
      <c r="B37" s="35"/>
      <c r="C37" s="39" t="s">
        <v>164</v>
      </c>
      <c r="D37" s="35"/>
      <c r="E37" s="41">
        <v>1446255</v>
      </c>
      <c r="F37" s="35"/>
      <c r="G37" s="41">
        <v>7700</v>
      </c>
      <c r="H37" s="9"/>
      <c r="I37" s="49">
        <v>0</v>
      </c>
      <c r="J37" s="25"/>
      <c r="K37" s="49">
        <v>0</v>
      </c>
      <c r="L37" s="25"/>
      <c r="M37" s="49">
        <v>0</v>
      </c>
      <c r="N37" s="25"/>
      <c r="O37" s="56">
        <v>11136163500</v>
      </c>
      <c r="P37" s="25"/>
      <c r="Q37" s="49">
        <v>0</v>
      </c>
      <c r="R37" s="25"/>
      <c r="S37" s="49">
        <f t="shared" si="0"/>
        <v>11136163500</v>
      </c>
    </row>
    <row r="38" spans="1:19" ht="21.75" customHeight="1">
      <c r="A38" s="39" t="s">
        <v>36</v>
      </c>
      <c r="B38" s="35"/>
      <c r="C38" s="39" t="s">
        <v>163</v>
      </c>
      <c r="D38" s="35"/>
      <c r="E38" s="41">
        <v>22555535</v>
      </c>
      <c r="F38" s="35"/>
      <c r="G38" s="41">
        <v>23</v>
      </c>
      <c r="H38" s="9"/>
      <c r="I38" s="49">
        <v>0</v>
      </c>
      <c r="J38" s="25"/>
      <c r="K38" s="49">
        <v>0</v>
      </c>
      <c r="L38" s="25"/>
      <c r="M38" s="49">
        <v>0</v>
      </c>
      <c r="N38" s="25"/>
      <c r="O38" s="56">
        <v>518777305</v>
      </c>
      <c r="P38" s="25"/>
      <c r="Q38" s="49">
        <v>0</v>
      </c>
      <c r="R38" s="25"/>
      <c r="S38" s="49">
        <f t="shared" si="0"/>
        <v>518777305</v>
      </c>
    </row>
    <row r="39" spans="1:19" ht="21.75" customHeight="1">
      <c r="A39" s="39" t="s">
        <v>112</v>
      </c>
      <c r="B39" s="35"/>
      <c r="C39" s="39" t="s">
        <v>168</v>
      </c>
      <c r="D39" s="35"/>
      <c r="E39" s="41">
        <v>41994168</v>
      </c>
      <c r="F39" s="35"/>
      <c r="G39" s="41">
        <v>20</v>
      </c>
      <c r="H39" s="9"/>
      <c r="I39" s="49">
        <v>0</v>
      </c>
      <c r="J39" s="25"/>
      <c r="K39" s="49">
        <v>0</v>
      </c>
      <c r="L39" s="25"/>
      <c r="M39" s="49">
        <v>0</v>
      </c>
      <c r="N39" s="25"/>
      <c r="O39" s="56">
        <v>839883360</v>
      </c>
      <c r="P39" s="25"/>
      <c r="Q39" s="49">
        <v>0</v>
      </c>
      <c r="R39" s="25"/>
      <c r="S39" s="49">
        <f t="shared" si="0"/>
        <v>839883360</v>
      </c>
    </row>
    <row r="40" spans="1:19" ht="21.75" customHeight="1">
      <c r="A40" s="39" t="s">
        <v>37</v>
      </c>
      <c r="B40" s="35"/>
      <c r="C40" s="39" t="s">
        <v>277</v>
      </c>
      <c r="D40" s="35"/>
      <c r="E40" s="41">
        <v>3476595</v>
      </c>
      <c r="F40" s="35"/>
      <c r="G40" s="41">
        <v>8700</v>
      </c>
      <c r="H40" s="9"/>
      <c r="I40" s="56">
        <v>30246376500</v>
      </c>
      <c r="J40" s="51"/>
      <c r="K40" s="56">
        <v>388560618</v>
      </c>
      <c r="L40" s="51"/>
      <c r="M40" s="56">
        <v>29857815882</v>
      </c>
      <c r="N40" s="25"/>
      <c r="O40" s="56">
        <v>30246376500</v>
      </c>
      <c r="P40" s="25"/>
      <c r="Q40" s="49">
        <v>388560618</v>
      </c>
      <c r="R40" s="25"/>
      <c r="S40" s="49">
        <f t="shared" si="0"/>
        <v>29857815882</v>
      </c>
    </row>
    <row r="41" spans="1:19" ht="21.75" customHeight="1">
      <c r="A41" s="39" t="s">
        <v>40</v>
      </c>
      <c r="B41" s="35"/>
      <c r="C41" s="39" t="s">
        <v>158</v>
      </c>
      <c r="D41" s="35"/>
      <c r="E41" s="41">
        <v>10265072</v>
      </c>
      <c r="F41" s="35"/>
      <c r="G41" s="41">
        <v>1940</v>
      </c>
      <c r="H41" s="9"/>
      <c r="I41" s="49">
        <v>0</v>
      </c>
      <c r="J41" s="25"/>
      <c r="K41" s="49">
        <v>0</v>
      </c>
      <c r="L41" s="25"/>
      <c r="M41" s="49">
        <v>0</v>
      </c>
      <c r="N41" s="25"/>
      <c r="O41" s="56">
        <v>19914239680</v>
      </c>
      <c r="P41" s="25"/>
      <c r="Q41" s="49">
        <v>0</v>
      </c>
      <c r="R41" s="25"/>
      <c r="S41" s="49">
        <f t="shared" si="0"/>
        <v>19914239680</v>
      </c>
    </row>
    <row r="42" spans="1:19" ht="21.75" customHeight="1">
      <c r="A42" s="24"/>
      <c r="B42" s="35"/>
      <c r="C42" s="41"/>
      <c r="D42" s="35"/>
      <c r="E42" s="41"/>
      <c r="F42" s="35"/>
      <c r="G42" s="41"/>
      <c r="H42" s="9"/>
      <c r="I42" s="50">
        <f>SUM(I8:I41)</f>
        <v>30246376500</v>
      </c>
      <c r="J42" s="51"/>
      <c r="K42" s="50">
        <f>SUM(K8:K41)</f>
        <v>388560618</v>
      </c>
      <c r="L42" s="51"/>
      <c r="M42" s="50">
        <f>SUM(M8:M41)</f>
        <v>29857815882</v>
      </c>
      <c r="N42" s="51"/>
      <c r="O42" s="50">
        <f>SUM(O8:O41)</f>
        <v>220933208700</v>
      </c>
      <c r="P42" s="51"/>
      <c r="Q42" s="50">
        <f>SUM(Q8:Q41)</f>
        <v>562068078</v>
      </c>
      <c r="R42" s="51"/>
      <c r="S42" s="50">
        <f>SUM(S8:S41)</f>
        <v>220371140622</v>
      </c>
    </row>
    <row r="43" spans="1:19">
      <c r="I43" s="53"/>
      <c r="O43" s="53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62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  <pageSetUpPr fitToPage="1"/>
  </sheetPr>
  <dimension ref="A1:Q11"/>
  <sheetViews>
    <sheetView rightToLeft="1" view="pageBreakPreview" topLeftCell="B1" zoomScale="106" zoomScaleNormal="100" zoomScaleSheetLayoutView="106" workbookViewId="0">
      <selection activeCell="U13" sqref="U13"/>
    </sheetView>
  </sheetViews>
  <sheetFormatPr defaultRowHeight="12.75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20.7109375" customWidth="1"/>
    <col min="6" max="6" width="1.28515625" customWidth="1"/>
    <col min="7" max="7" width="14.28515625" customWidth="1"/>
    <col min="8" max="8" width="1.28515625" customWidth="1"/>
    <col min="9" max="9" width="10.42578125" customWidth="1"/>
    <col min="10" max="10" width="1.28515625" customWidth="1"/>
    <col min="11" max="11" width="15.5703125" customWidth="1"/>
    <col min="12" max="12" width="1.28515625" customWidth="1"/>
    <col min="13" max="13" width="14.28515625" customWidth="1"/>
    <col min="14" max="14" width="1.28515625" customWidth="1"/>
    <col min="15" max="15" width="10.42578125" customWidth="1"/>
    <col min="16" max="16" width="1.28515625" customWidth="1"/>
    <col min="17" max="17" width="15.5703125" customWidth="1"/>
    <col min="18" max="18" width="0.28515625" customWidth="1"/>
  </cols>
  <sheetData>
    <row r="1" spans="1:17" ht="29.1" customHeight="1">
      <c r="A1" s="95" t="str">
        <f>سهام!A1</f>
        <v>صندوق سرمایه گذاری افق دماوند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</row>
    <row r="2" spans="1:17" ht="21.75" customHeight="1">
      <c r="A2" s="95" t="s">
        <v>77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</row>
    <row r="3" spans="1:17" ht="21.75" customHeight="1">
      <c r="A3" s="95" t="str">
        <f>سهام!A3</f>
        <v>برای ماه منتهی به 1404/10/30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</row>
    <row r="4" spans="1:17" ht="14.45" customHeight="1"/>
    <row r="5" spans="1:17" ht="14.45" customHeight="1">
      <c r="A5" s="109" t="s">
        <v>172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</row>
    <row r="6" spans="1:17" ht="14.45" customHeight="1">
      <c r="A6" s="97" t="s">
        <v>80</v>
      </c>
      <c r="B6" s="9"/>
      <c r="C6" s="105" t="s">
        <v>92</v>
      </c>
      <c r="D6" s="105"/>
      <c r="E6" s="105"/>
      <c r="F6" s="105"/>
      <c r="G6" s="105"/>
      <c r="H6" s="105"/>
      <c r="I6" s="105"/>
      <c r="J6" s="105"/>
      <c r="K6" s="105"/>
      <c r="L6" s="9"/>
      <c r="M6" s="97" t="s">
        <v>93</v>
      </c>
      <c r="N6" s="97"/>
      <c r="O6" s="97"/>
      <c r="P6" s="97"/>
      <c r="Q6" s="97"/>
    </row>
    <row r="7" spans="1:17" ht="29.1" customHeight="1">
      <c r="A7" s="97"/>
      <c r="B7" s="9"/>
      <c r="C7" s="87" t="s">
        <v>66</v>
      </c>
      <c r="D7" s="9"/>
      <c r="E7" s="87" t="s">
        <v>173</v>
      </c>
      <c r="F7" s="9"/>
      <c r="G7" s="87" t="s">
        <v>174</v>
      </c>
      <c r="H7" s="9"/>
      <c r="I7" s="87" t="s">
        <v>148</v>
      </c>
      <c r="J7" s="9"/>
      <c r="K7" s="87" t="s">
        <v>175</v>
      </c>
      <c r="L7" s="9"/>
      <c r="M7" s="52" t="s">
        <v>174</v>
      </c>
      <c r="N7" s="10"/>
      <c r="O7" s="52" t="s">
        <v>148</v>
      </c>
      <c r="P7" s="10"/>
      <c r="Q7" s="52" t="s">
        <v>175</v>
      </c>
    </row>
    <row r="8" spans="1:17" ht="21.75" customHeight="1">
      <c r="A8" s="28" t="s">
        <v>132</v>
      </c>
      <c r="B8" s="9"/>
      <c r="C8" s="28" t="s">
        <v>176</v>
      </c>
      <c r="D8" s="9"/>
      <c r="E8" s="11">
        <v>23</v>
      </c>
      <c r="F8" s="9"/>
      <c r="G8" s="11">
        <v>0</v>
      </c>
      <c r="H8" s="9"/>
      <c r="I8" s="11">
        <v>0</v>
      </c>
      <c r="J8" s="9"/>
      <c r="K8" s="21">
        <f>G8-I8</f>
        <v>0</v>
      </c>
      <c r="L8" s="21"/>
      <c r="M8" s="21">
        <v>379216840</v>
      </c>
      <c r="N8" s="21"/>
      <c r="O8" s="21">
        <v>0</v>
      </c>
      <c r="P8" s="21"/>
      <c r="Q8" s="21">
        <f>M8-O8</f>
        <v>379216840</v>
      </c>
    </row>
    <row r="9" spans="1:17" ht="21.75" customHeight="1">
      <c r="A9" s="29" t="s">
        <v>68</v>
      </c>
      <c r="B9" s="9"/>
      <c r="C9" s="29" t="s">
        <v>71</v>
      </c>
      <c r="D9" s="9"/>
      <c r="E9" s="21">
        <v>23</v>
      </c>
      <c r="F9" s="9"/>
      <c r="G9" s="21">
        <v>343457992</v>
      </c>
      <c r="H9" s="21"/>
      <c r="I9" s="21">
        <v>0</v>
      </c>
      <c r="J9" s="9"/>
      <c r="K9" s="21">
        <f>G9-I9</f>
        <v>343457992</v>
      </c>
      <c r="L9" s="21"/>
      <c r="M9" s="21">
        <v>3828091040</v>
      </c>
      <c r="N9" s="21"/>
      <c r="O9" s="21">
        <v>0</v>
      </c>
      <c r="P9" s="21"/>
      <c r="Q9" s="21">
        <f>M9-O9</f>
        <v>3828091040</v>
      </c>
    </row>
    <row r="10" spans="1:17" ht="21.75" customHeight="1" thickBot="1">
      <c r="A10" s="24"/>
      <c r="B10" s="35"/>
      <c r="C10" s="41"/>
      <c r="D10" s="35"/>
      <c r="E10" s="41"/>
      <c r="F10" s="9"/>
      <c r="G10" s="12">
        <f>SUM(G8:G9)</f>
        <v>343457992</v>
      </c>
      <c r="H10" s="9"/>
      <c r="I10" s="12">
        <f>SUM(I8:I9)</f>
        <v>0</v>
      </c>
      <c r="J10" s="9"/>
      <c r="K10" s="12">
        <f>SUM(K8:K9)</f>
        <v>343457992</v>
      </c>
      <c r="L10" s="9"/>
      <c r="M10" s="12">
        <f>SUM(M8:M9)</f>
        <v>4207307880</v>
      </c>
      <c r="N10" s="9"/>
      <c r="O10" s="12">
        <f>SUM(O8:O9)</f>
        <v>0</v>
      </c>
      <c r="P10" s="9"/>
      <c r="Q10" s="12">
        <f>SUM(Q8:Q9)</f>
        <v>4207307880</v>
      </c>
    </row>
    <row r="11" spans="1:17" ht="13.5" thickTop="1">
      <c r="K11" s="45"/>
      <c r="Q11" s="45"/>
    </row>
  </sheetData>
  <mergeCells count="7">
    <mergeCell ref="A1:Q1"/>
    <mergeCell ref="A2:Q2"/>
    <mergeCell ref="A3:Q3"/>
    <mergeCell ref="A5:Q5"/>
    <mergeCell ref="A6:A7"/>
    <mergeCell ref="M6:Q6"/>
    <mergeCell ref="C6:K6"/>
  </mergeCells>
  <pageMargins left="0.39" right="0.39" top="0.39" bottom="0.39" header="0" footer="0"/>
  <pageSetup scale="80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  <pageSetUpPr fitToPage="1"/>
  </sheetPr>
  <dimension ref="A1:M13"/>
  <sheetViews>
    <sheetView rightToLeft="1" view="pageBreakPreview" zoomScale="106" zoomScaleNormal="100" zoomScaleSheetLayoutView="106" workbookViewId="0">
      <selection activeCell="P31" sqref="P31"/>
    </sheetView>
  </sheetViews>
  <sheetFormatPr defaultRowHeight="12.75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>
      <c r="A1" s="95" t="str">
        <f>سهام!A1</f>
        <v>صندوق سرمایه گذاری افق دماوند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3" ht="21.75" customHeight="1">
      <c r="A2" s="95" t="s">
        <v>77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</row>
    <row r="3" spans="1:13" ht="21.75" customHeight="1">
      <c r="A3" s="95" t="str">
        <f>سهام!A3</f>
        <v>برای ماه منتهی به 1404/10/30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</row>
    <row r="4" spans="1:13" ht="14.45" customHeight="1"/>
    <row r="5" spans="1:13" ht="14.45" customHeight="1">
      <c r="A5" s="109" t="s">
        <v>177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</row>
    <row r="6" spans="1:13" ht="14.45" customHeight="1">
      <c r="A6" s="97" t="s">
        <v>80</v>
      </c>
      <c r="C6" s="97" t="s">
        <v>92</v>
      </c>
      <c r="D6" s="97"/>
      <c r="E6" s="97"/>
      <c r="F6" s="97"/>
      <c r="G6" s="97"/>
      <c r="I6" s="97" t="s">
        <v>93</v>
      </c>
      <c r="J6" s="97"/>
      <c r="K6" s="97"/>
      <c r="L6" s="97"/>
      <c r="M6" s="97"/>
    </row>
    <row r="7" spans="1:13" ht="29.1" customHeight="1">
      <c r="A7" s="97"/>
      <c r="C7" s="8" t="s">
        <v>174</v>
      </c>
      <c r="D7" s="3"/>
      <c r="E7" s="8" t="s">
        <v>148</v>
      </c>
      <c r="F7" s="3"/>
      <c r="G7" s="8" t="s">
        <v>175</v>
      </c>
      <c r="I7" s="8" t="s">
        <v>174</v>
      </c>
      <c r="J7" s="3"/>
      <c r="K7" s="8" t="s">
        <v>148</v>
      </c>
      <c r="L7" s="3"/>
      <c r="M7" s="8" t="s">
        <v>175</v>
      </c>
    </row>
    <row r="8" spans="1:13" ht="21.75" customHeight="1">
      <c r="A8" s="5" t="s">
        <v>198</v>
      </c>
      <c r="C8" s="38">
        <v>123678</v>
      </c>
      <c r="D8" s="35"/>
      <c r="E8" s="38">
        <v>0</v>
      </c>
      <c r="F8" s="35"/>
      <c r="G8" s="38">
        <v>123678</v>
      </c>
      <c r="H8" s="35"/>
      <c r="I8" s="38">
        <v>545984243</v>
      </c>
      <c r="J8" s="35"/>
      <c r="K8" s="38">
        <v>0</v>
      </c>
      <c r="L8" s="35"/>
      <c r="M8" s="41">
        <v>545984243</v>
      </c>
    </row>
    <row r="9" spans="1:13" ht="21.75" customHeight="1">
      <c r="A9" s="6" t="s">
        <v>196</v>
      </c>
      <c r="C9" s="41">
        <v>134625</v>
      </c>
      <c r="D9" s="35"/>
      <c r="E9" s="41">
        <v>0</v>
      </c>
      <c r="F9" s="35"/>
      <c r="G9" s="41">
        <v>134625</v>
      </c>
      <c r="H9" s="35"/>
      <c r="I9" s="41">
        <v>376261337</v>
      </c>
      <c r="J9" s="35"/>
      <c r="K9" s="41">
        <v>0</v>
      </c>
      <c r="L9" s="35"/>
      <c r="M9" s="41">
        <v>376261337</v>
      </c>
    </row>
    <row r="10" spans="1:13" ht="21.75" customHeight="1">
      <c r="A10" s="6" t="s">
        <v>197</v>
      </c>
      <c r="C10" s="42">
        <v>2089</v>
      </c>
      <c r="D10" s="35"/>
      <c r="E10" s="42">
        <v>0</v>
      </c>
      <c r="F10" s="35"/>
      <c r="G10" s="41">
        <v>2089</v>
      </c>
      <c r="H10" s="35"/>
      <c r="I10" s="42">
        <v>1010497</v>
      </c>
      <c r="J10" s="35"/>
      <c r="K10" s="42">
        <v>0</v>
      </c>
      <c r="L10" s="35"/>
      <c r="M10" s="41">
        <v>1010497</v>
      </c>
    </row>
    <row r="11" spans="1:13" ht="21.75" customHeight="1">
      <c r="A11" s="24"/>
      <c r="C11" s="43">
        <f>SUM(C8:C10)</f>
        <v>260392</v>
      </c>
      <c r="D11" s="35"/>
      <c r="E11" s="43">
        <f>SUM(E8:E10)</f>
        <v>0</v>
      </c>
      <c r="F11" s="35"/>
      <c r="G11" s="43">
        <f>SUM(G8:G10)</f>
        <v>260392</v>
      </c>
      <c r="H11" s="35"/>
      <c r="I11" s="43">
        <f>SUM(I8:I10)</f>
        <v>923256077</v>
      </c>
      <c r="J11" s="35"/>
      <c r="K11" s="43">
        <f>SUM(K8:K10)</f>
        <v>0</v>
      </c>
      <c r="L11" s="35"/>
      <c r="M11" s="43">
        <f>SUM(M8:M10)</f>
        <v>923256077</v>
      </c>
    </row>
    <row r="12" spans="1:13">
      <c r="G12" s="45"/>
      <c r="M12" s="45"/>
    </row>
    <row r="13" spans="1:13">
      <c r="C13" s="45"/>
      <c r="I13" s="45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</sheetPr>
  <dimension ref="A1:R82"/>
  <sheetViews>
    <sheetView rightToLeft="1" view="pageBreakPreview" zoomScaleNormal="100" zoomScaleSheetLayoutView="100" workbookViewId="0">
      <selection activeCell="R48" sqref="R48"/>
    </sheetView>
  </sheetViews>
  <sheetFormatPr defaultRowHeight="18.75"/>
  <cols>
    <col min="1" max="1" width="29.85546875" style="9" bestFit="1" customWidth="1"/>
    <col min="2" max="2" width="1.28515625" style="9" customWidth="1"/>
    <col min="3" max="3" width="11.7109375" style="9" bestFit="1" customWidth="1"/>
    <col min="4" max="4" width="1.28515625" style="9" customWidth="1"/>
    <col min="5" max="5" width="16.7109375" style="9" bestFit="1" customWidth="1"/>
    <col min="6" max="6" width="1.28515625" style="9" customWidth="1"/>
    <col min="7" max="7" width="16.7109375" style="9" bestFit="1" customWidth="1"/>
    <col min="8" max="8" width="1.28515625" style="9" customWidth="1"/>
    <col min="9" max="9" width="22" style="9" bestFit="1" customWidth="1"/>
    <col min="10" max="10" width="1.28515625" style="9" customWidth="1"/>
    <col min="11" max="11" width="14.42578125" style="9" bestFit="1" customWidth="1"/>
    <col min="12" max="12" width="1.28515625" style="9" customWidth="1"/>
    <col min="13" max="13" width="18.5703125" style="9" bestFit="1" customWidth="1"/>
    <col min="14" max="14" width="1.28515625" style="9" customWidth="1"/>
    <col min="15" max="15" width="18.42578125" style="9" bestFit="1" customWidth="1"/>
    <col min="16" max="16" width="1.28515625" style="9" customWidth="1"/>
    <col min="17" max="17" width="22" style="9" bestFit="1" customWidth="1"/>
    <col min="18" max="18" width="17.28515625" style="26" bestFit="1" customWidth="1"/>
    <col min="19" max="16384" width="9.140625" style="9"/>
  </cols>
  <sheetData>
    <row r="1" spans="1:18" ht="29.1" customHeight="1">
      <c r="A1" s="95" t="str">
        <f>سهام!A1</f>
        <v>صندوق سرمایه گذاری افق دماوند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</row>
    <row r="2" spans="1:18" ht="21.75" customHeight="1">
      <c r="A2" s="95" t="s">
        <v>77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</row>
    <row r="3" spans="1:18" ht="21.75" customHeight="1">
      <c r="A3" s="95" t="str">
        <f>سهام!A3</f>
        <v>برای ماه منتهی به 1404/10/30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</row>
    <row r="4" spans="1:18" ht="14.45" customHeight="1"/>
    <row r="5" spans="1:18" ht="14.45" customHeight="1">
      <c r="A5" s="109" t="s">
        <v>178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</row>
    <row r="6" spans="1:18" ht="14.45" customHeight="1">
      <c r="A6" s="97" t="s">
        <v>80</v>
      </c>
      <c r="C6" s="97" t="s">
        <v>92</v>
      </c>
      <c r="D6" s="97"/>
      <c r="E6" s="97"/>
      <c r="F6" s="97"/>
      <c r="G6" s="97"/>
      <c r="H6" s="97"/>
      <c r="I6" s="97"/>
      <c r="K6" s="97" t="s">
        <v>93</v>
      </c>
      <c r="L6" s="97"/>
      <c r="M6" s="97"/>
      <c r="N6" s="97"/>
      <c r="O6" s="97"/>
      <c r="P6" s="97"/>
      <c r="Q6" s="97"/>
    </row>
    <row r="7" spans="1:18" ht="29.1" customHeight="1">
      <c r="A7" s="97"/>
      <c r="C7" s="8" t="s">
        <v>8</v>
      </c>
      <c r="D7" s="10"/>
      <c r="E7" s="8" t="s">
        <v>179</v>
      </c>
      <c r="F7" s="10"/>
      <c r="G7" s="8" t="s">
        <v>180</v>
      </c>
      <c r="H7" s="10"/>
      <c r="I7" s="8" t="s">
        <v>181</v>
      </c>
      <c r="K7" s="8" t="s">
        <v>8</v>
      </c>
      <c r="L7" s="10"/>
      <c r="M7" s="8" t="s">
        <v>179</v>
      </c>
      <c r="N7" s="10"/>
      <c r="O7" s="8" t="s">
        <v>180</v>
      </c>
      <c r="P7" s="10"/>
      <c r="Q7" s="8" t="s">
        <v>181</v>
      </c>
    </row>
    <row r="8" spans="1:18" ht="21.75" customHeight="1">
      <c r="A8" s="5" t="s">
        <v>22</v>
      </c>
      <c r="C8" s="55">
        <v>200000</v>
      </c>
      <c r="D8" s="51"/>
      <c r="E8" s="55">
        <v>11049918761</v>
      </c>
      <c r="F8" s="51"/>
      <c r="G8" s="56">
        <v>8371613253</v>
      </c>
      <c r="H8" s="51"/>
      <c r="I8" s="56">
        <f>E8-G8</f>
        <v>2678305508</v>
      </c>
      <c r="J8" s="51"/>
      <c r="K8" s="56">
        <v>2686216</v>
      </c>
      <c r="L8" s="51"/>
      <c r="M8" s="55">
        <v>122746225645</v>
      </c>
      <c r="N8" s="51"/>
      <c r="O8" s="55">
        <v>114551948666</v>
      </c>
      <c r="P8" s="51"/>
      <c r="Q8" s="56">
        <f>M8-O8</f>
        <v>8194276979</v>
      </c>
      <c r="R8" s="56"/>
    </row>
    <row r="9" spans="1:18" ht="21.75" customHeight="1">
      <c r="A9" s="6" t="s">
        <v>23</v>
      </c>
      <c r="C9" s="56">
        <v>50000</v>
      </c>
      <c r="D9" s="51"/>
      <c r="E9" s="56">
        <v>6846166917</v>
      </c>
      <c r="F9" s="51"/>
      <c r="G9" s="56">
        <v>4296106755</v>
      </c>
      <c r="H9" s="51"/>
      <c r="I9" s="56">
        <f t="shared" ref="I9:I72" si="0">E9-G9</f>
        <v>2550060162</v>
      </c>
      <c r="J9" s="51"/>
      <c r="K9" s="56">
        <v>239280</v>
      </c>
      <c r="L9" s="51"/>
      <c r="M9" s="56">
        <v>23628821560</v>
      </c>
      <c r="N9" s="51"/>
      <c r="O9" s="56">
        <v>19222782526</v>
      </c>
      <c r="P9" s="51"/>
      <c r="Q9" s="56">
        <f t="shared" ref="Q9:Q72" si="1">M9-O9</f>
        <v>4406039034</v>
      </c>
      <c r="R9" s="56"/>
    </row>
    <row r="10" spans="1:18" ht="21.75" customHeight="1">
      <c r="A10" s="6" t="s">
        <v>17</v>
      </c>
      <c r="C10" s="56">
        <v>400000</v>
      </c>
      <c r="D10" s="51"/>
      <c r="E10" s="56">
        <v>4393771574</v>
      </c>
      <c r="F10" s="51"/>
      <c r="G10" s="56">
        <v>3798828363</v>
      </c>
      <c r="H10" s="51"/>
      <c r="I10" s="56">
        <f t="shared" si="0"/>
        <v>594943211</v>
      </c>
      <c r="J10" s="51"/>
      <c r="K10" s="56">
        <v>2400000</v>
      </c>
      <c r="L10" s="51"/>
      <c r="M10" s="56">
        <v>18898543515</v>
      </c>
      <c r="N10" s="51"/>
      <c r="O10" s="56">
        <v>22877292605</v>
      </c>
      <c r="P10" s="51"/>
      <c r="Q10" s="56">
        <f t="shared" si="1"/>
        <v>-3978749090</v>
      </c>
      <c r="R10" s="56"/>
    </row>
    <row r="11" spans="1:18" ht="21.75" customHeight="1">
      <c r="A11" s="6" t="s">
        <v>46</v>
      </c>
      <c r="C11" s="56">
        <v>1000000</v>
      </c>
      <c r="D11" s="51"/>
      <c r="E11" s="56">
        <v>55271424062</v>
      </c>
      <c r="F11" s="51"/>
      <c r="G11" s="56">
        <v>59037164180</v>
      </c>
      <c r="H11" s="51"/>
      <c r="I11" s="56">
        <f t="shared" si="0"/>
        <v>-3765740118</v>
      </c>
      <c r="J11" s="51"/>
      <c r="K11" s="56">
        <v>1361737</v>
      </c>
      <c r="L11" s="51"/>
      <c r="M11" s="56">
        <v>76393758278</v>
      </c>
      <c r="N11" s="51"/>
      <c r="O11" s="56">
        <v>82053695751</v>
      </c>
      <c r="P11" s="51"/>
      <c r="Q11" s="56">
        <f t="shared" si="1"/>
        <v>-5659937473</v>
      </c>
      <c r="R11" s="56"/>
    </row>
    <row r="12" spans="1:18" ht="21.75" customHeight="1">
      <c r="A12" s="6" t="s">
        <v>41</v>
      </c>
      <c r="C12" s="56">
        <v>6173931</v>
      </c>
      <c r="D12" s="51"/>
      <c r="E12" s="56">
        <v>29246716186</v>
      </c>
      <c r="F12" s="51"/>
      <c r="G12" s="56">
        <v>25594440058</v>
      </c>
      <c r="H12" s="51"/>
      <c r="I12" s="56">
        <f t="shared" si="0"/>
        <v>3652276128</v>
      </c>
      <c r="J12" s="51"/>
      <c r="K12" s="56">
        <v>15259000</v>
      </c>
      <c r="L12" s="51"/>
      <c r="M12" s="56">
        <v>69166775895</v>
      </c>
      <c r="N12" s="51"/>
      <c r="O12" s="56">
        <v>74525056179</v>
      </c>
      <c r="P12" s="51"/>
      <c r="Q12" s="56">
        <f t="shared" si="1"/>
        <v>-5358280284</v>
      </c>
      <c r="R12" s="56"/>
    </row>
    <row r="13" spans="1:18" ht="21.75" customHeight="1">
      <c r="A13" s="6" t="s">
        <v>26</v>
      </c>
      <c r="C13" s="56">
        <v>300000</v>
      </c>
      <c r="D13" s="51"/>
      <c r="E13" s="56">
        <v>5502137206</v>
      </c>
      <c r="F13" s="51"/>
      <c r="G13" s="56">
        <v>3394961034</v>
      </c>
      <c r="H13" s="51"/>
      <c r="I13" s="56">
        <f t="shared" si="0"/>
        <v>2107176172</v>
      </c>
      <c r="J13" s="51"/>
      <c r="K13" s="56">
        <v>12550361</v>
      </c>
      <c r="L13" s="51"/>
      <c r="M13" s="56">
        <v>136220955973</v>
      </c>
      <c r="N13" s="51"/>
      <c r="O13" s="56">
        <v>142953664050</v>
      </c>
      <c r="P13" s="51"/>
      <c r="Q13" s="56">
        <f t="shared" si="1"/>
        <v>-6732708077</v>
      </c>
      <c r="R13" s="56"/>
    </row>
    <row r="14" spans="1:18" ht="21.75" customHeight="1">
      <c r="A14" s="6" t="s">
        <v>32</v>
      </c>
      <c r="C14" s="56">
        <v>500000</v>
      </c>
      <c r="D14" s="51"/>
      <c r="E14" s="56">
        <v>24347329059</v>
      </c>
      <c r="F14" s="51"/>
      <c r="G14" s="56">
        <v>16617700155</v>
      </c>
      <c r="H14" s="51"/>
      <c r="I14" s="56">
        <f t="shared" si="0"/>
        <v>7729628904</v>
      </c>
      <c r="J14" s="51"/>
      <c r="K14" s="56">
        <v>522232</v>
      </c>
      <c r="L14" s="51"/>
      <c r="M14" s="56">
        <v>25189549376</v>
      </c>
      <c r="N14" s="51"/>
      <c r="O14" s="56">
        <v>17587546720</v>
      </c>
      <c r="P14" s="51"/>
      <c r="Q14" s="56">
        <f t="shared" si="1"/>
        <v>7602002656</v>
      </c>
      <c r="R14" s="56"/>
    </row>
    <row r="15" spans="1:18" ht="21.75" customHeight="1">
      <c r="A15" s="6" t="s">
        <v>20</v>
      </c>
      <c r="C15" s="56">
        <v>3800000</v>
      </c>
      <c r="D15" s="51"/>
      <c r="E15" s="56">
        <v>46616844765</v>
      </c>
      <c r="F15" s="51"/>
      <c r="G15" s="56">
        <v>36118657340</v>
      </c>
      <c r="H15" s="51"/>
      <c r="I15" s="56">
        <f t="shared" si="0"/>
        <v>10498187425</v>
      </c>
      <c r="J15" s="51"/>
      <c r="K15" s="56">
        <v>5600000</v>
      </c>
      <c r="L15" s="51"/>
      <c r="M15" s="56">
        <v>62022731253</v>
      </c>
      <c r="N15" s="51"/>
      <c r="O15" s="56">
        <v>51629052639</v>
      </c>
      <c r="P15" s="51"/>
      <c r="Q15" s="56">
        <f t="shared" si="1"/>
        <v>10393678614</v>
      </c>
      <c r="R15" s="56"/>
    </row>
    <row r="16" spans="1:18" ht="21.75" customHeight="1">
      <c r="A16" s="6" t="s">
        <v>34</v>
      </c>
      <c r="C16" s="56">
        <v>1000000</v>
      </c>
      <c r="D16" s="51"/>
      <c r="E16" s="56">
        <v>10664917998</v>
      </c>
      <c r="F16" s="51"/>
      <c r="G16" s="56">
        <v>11587064998</v>
      </c>
      <c r="H16" s="51"/>
      <c r="I16" s="56">
        <f t="shared" si="0"/>
        <v>-922147000</v>
      </c>
      <c r="J16" s="51"/>
      <c r="K16" s="56">
        <v>1000000</v>
      </c>
      <c r="L16" s="51"/>
      <c r="M16" s="56">
        <v>10664917998</v>
      </c>
      <c r="N16" s="51"/>
      <c r="O16" s="56">
        <v>11587064998</v>
      </c>
      <c r="P16" s="51"/>
      <c r="Q16" s="56">
        <f t="shared" si="1"/>
        <v>-922147000</v>
      </c>
      <c r="R16" s="56"/>
    </row>
    <row r="17" spans="1:18" ht="21.75" customHeight="1">
      <c r="A17" s="6" t="s">
        <v>268</v>
      </c>
      <c r="C17" s="56">
        <v>106626</v>
      </c>
      <c r="D17" s="51"/>
      <c r="E17" s="56">
        <v>27718209129</v>
      </c>
      <c r="F17" s="51"/>
      <c r="G17" s="56">
        <v>24118752969</v>
      </c>
      <c r="H17" s="51"/>
      <c r="I17" s="56">
        <f t="shared" si="0"/>
        <v>3599456160</v>
      </c>
      <c r="J17" s="51"/>
      <c r="K17" s="56">
        <v>106626</v>
      </c>
      <c r="L17" s="51"/>
      <c r="M17" s="56">
        <v>27718209129</v>
      </c>
      <c r="N17" s="51"/>
      <c r="O17" s="56">
        <v>24118752969</v>
      </c>
      <c r="P17" s="51"/>
      <c r="Q17" s="56">
        <f t="shared" si="1"/>
        <v>3599456160</v>
      </c>
      <c r="R17" s="56"/>
    </row>
    <row r="18" spans="1:18" ht="21.75" customHeight="1">
      <c r="A18" s="6" t="s">
        <v>38</v>
      </c>
      <c r="C18" s="56">
        <v>400000</v>
      </c>
      <c r="D18" s="51"/>
      <c r="E18" s="56">
        <v>1341152219</v>
      </c>
      <c r="F18" s="51"/>
      <c r="G18" s="56">
        <v>1165323855</v>
      </c>
      <c r="H18" s="51"/>
      <c r="I18" s="56">
        <f t="shared" si="0"/>
        <v>175828364</v>
      </c>
      <c r="J18" s="51"/>
      <c r="K18" s="56">
        <v>4852152</v>
      </c>
      <c r="L18" s="51"/>
      <c r="M18" s="56">
        <v>14282166923</v>
      </c>
      <c r="N18" s="51"/>
      <c r="O18" s="56">
        <v>14174649197</v>
      </c>
      <c r="P18" s="51"/>
      <c r="Q18" s="56">
        <f t="shared" si="1"/>
        <v>107517726</v>
      </c>
      <c r="R18" s="56"/>
    </row>
    <row r="19" spans="1:18" ht="21.75" customHeight="1">
      <c r="A19" s="6" t="s">
        <v>44</v>
      </c>
      <c r="C19" s="56">
        <v>4789630</v>
      </c>
      <c r="D19" s="51"/>
      <c r="E19" s="56">
        <v>37153781930</v>
      </c>
      <c r="F19" s="51"/>
      <c r="G19" s="56">
        <v>21487217556</v>
      </c>
      <c r="H19" s="51"/>
      <c r="I19" s="56">
        <f t="shared" si="0"/>
        <v>15666564374</v>
      </c>
      <c r="J19" s="51"/>
      <c r="K19" s="56">
        <v>8941010</v>
      </c>
      <c r="L19" s="51"/>
      <c r="M19" s="56">
        <v>62604541167</v>
      </c>
      <c r="N19" s="51"/>
      <c r="O19" s="56">
        <v>40189421802</v>
      </c>
      <c r="P19" s="51"/>
      <c r="Q19" s="56">
        <f t="shared" si="1"/>
        <v>22415119365</v>
      </c>
      <c r="R19" s="56"/>
    </row>
    <row r="20" spans="1:18" ht="21.75" customHeight="1">
      <c r="A20" s="6" t="s">
        <v>19</v>
      </c>
      <c r="C20" s="56">
        <v>50000</v>
      </c>
      <c r="D20" s="51"/>
      <c r="E20" s="56">
        <v>26934176909</v>
      </c>
      <c r="F20" s="51"/>
      <c r="G20" s="56">
        <v>12810182580</v>
      </c>
      <c r="H20" s="51"/>
      <c r="I20" s="56">
        <f t="shared" si="0"/>
        <v>14123994329</v>
      </c>
      <c r="J20" s="51"/>
      <c r="K20" s="56">
        <v>109400</v>
      </c>
      <c r="L20" s="51"/>
      <c r="M20" s="56">
        <v>43827942789</v>
      </c>
      <c r="N20" s="51"/>
      <c r="O20" s="56">
        <v>28150300983</v>
      </c>
      <c r="P20" s="51"/>
      <c r="Q20" s="56">
        <f t="shared" si="1"/>
        <v>15677641806</v>
      </c>
      <c r="R20" s="56"/>
    </row>
    <row r="21" spans="1:18" ht="21.75" customHeight="1">
      <c r="A21" s="6" t="s">
        <v>42</v>
      </c>
      <c r="C21" s="56">
        <v>200000</v>
      </c>
      <c r="D21" s="51"/>
      <c r="E21" s="56">
        <v>3224877538</v>
      </c>
      <c r="F21" s="51"/>
      <c r="G21" s="56">
        <v>2028148652</v>
      </c>
      <c r="H21" s="51"/>
      <c r="I21" s="56">
        <f t="shared" si="0"/>
        <v>1196728886</v>
      </c>
      <c r="J21" s="51"/>
      <c r="K21" s="56">
        <v>1867424</v>
      </c>
      <c r="L21" s="51"/>
      <c r="M21" s="56">
        <v>26393758343</v>
      </c>
      <c r="N21" s="51"/>
      <c r="O21" s="56">
        <v>18654887220</v>
      </c>
      <c r="P21" s="51"/>
      <c r="Q21" s="56">
        <f t="shared" si="1"/>
        <v>7738871123</v>
      </c>
      <c r="R21" s="56"/>
    </row>
    <row r="22" spans="1:18" ht="21.75" customHeight="1">
      <c r="A22" s="6" t="s">
        <v>33</v>
      </c>
      <c r="C22" s="56">
        <v>11890253</v>
      </c>
      <c r="D22" s="51"/>
      <c r="E22" s="56">
        <v>146009383268</v>
      </c>
      <c r="F22" s="51"/>
      <c r="G22" s="56">
        <v>96642794348</v>
      </c>
      <c r="H22" s="51"/>
      <c r="I22" s="56">
        <f t="shared" si="0"/>
        <v>49366588920</v>
      </c>
      <c r="J22" s="51"/>
      <c r="K22" s="56">
        <v>46608937</v>
      </c>
      <c r="L22" s="51"/>
      <c r="M22" s="56">
        <v>412741398149</v>
      </c>
      <c r="N22" s="51"/>
      <c r="O22" s="56">
        <v>352077628816</v>
      </c>
      <c r="P22" s="51"/>
      <c r="Q22" s="56">
        <f t="shared" si="1"/>
        <v>60663769333</v>
      </c>
      <c r="R22" s="56"/>
    </row>
    <row r="23" spans="1:18" ht="21.75" customHeight="1">
      <c r="A23" s="6" t="s">
        <v>30</v>
      </c>
      <c r="C23" s="56">
        <v>200000</v>
      </c>
      <c r="D23" s="51"/>
      <c r="E23" s="56">
        <v>4635885456</v>
      </c>
      <c r="F23" s="51"/>
      <c r="G23" s="56">
        <v>3466012804</v>
      </c>
      <c r="H23" s="51"/>
      <c r="I23" s="56">
        <f t="shared" si="0"/>
        <v>1169872652</v>
      </c>
      <c r="J23" s="51"/>
      <c r="K23" s="56">
        <v>10214352</v>
      </c>
      <c r="L23" s="51"/>
      <c r="M23" s="56">
        <v>200980627833</v>
      </c>
      <c r="N23" s="51"/>
      <c r="O23" s="56">
        <v>185004424795</v>
      </c>
      <c r="P23" s="51"/>
      <c r="Q23" s="56">
        <f t="shared" si="1"/>
        <v>15976203038</v>
      </c>
      <c r="R23" s="56"/>
    </row>
    <row r="24" spans="1:18" ht="21.75" customHeight="1">
      <c r="A24" s="6" t="s">
        <v>47</v>
      </c>
      <c r="C24" s="56">
        <v>0</v>
      </c>
      <c r="D24" s="51"/>
      <c r="E24" s="56">
        <v>0</v>
      </c>
      <c r="F24" s="51"/>
      <c r="G24" s="56">
        <v>0</v>
      </c>
      <c r="H24" s="51"/>
      <c r="I24" s="56">
        <f t="shared" si="0"/>
        <v>0</v>
      </c>
      <c r="J24" s="51"/>
      <c r="K24" s="56">
        <v>2283</v>
      </c>
      <c r="L24" s="51"/>
      <c r="M24" s="56">
        <v>16899534</v>
      </c>
      <c r="N24" s="51"/>
      <c r="O24" s="56">
        <v>11449335</v>
      </c>
      <c r="P24" s="51"/>
      <c r="Q24" s="56">
        <f t="shared" si="1"/>
        <v>5450199</v>
      </c>
      <c r="R24" s="56"/>
    </row>
    <row r="25" spans="1:18" ht="21.75" customHeight="1">
      <c r="A25" s="6" t="s">
        <v>122</v>
      </c>
      <c r="C25" s="56">
        <v>0</v>
      </c>
      <c r="D25" s="56"/>
      <c r="E25" s="56">
        <v>0</v>
      </c>
      <c r="F25" s="56"/>
      <c r="G25" s="56">
        <v>0</v>
      </c>
      <c r="H25" s="56"/>
      <c r="I25" s="56">
        <f t="shared" si="0"/>
        <v>0</v>
      </c>
      <c r="J25" s="56"/>
      <c r="K25" s="56">
        <v>1750000</v>
      </c>
      <c r="L25" s="56"/>
      <c r="M25" s="56">
        <v>5869368245</v>
      </c>
      <c r="N25" s="56"/>
      <c r="O25" s="56">
        <v>4660014907</v>
      </c>
      <c r="P25" s="56"/>
      <c r="Q25" s="56">
        <f t="shared" si="1"/>
        <v>1209353338</v>
      </c>
      <c r="R25" s="56"/>
    </row>
    <row r="26" spans="1:18" ht="21.75" customHeight="1">
      <c r="A26" s="6" t="s">
        <v>45</v>
      </c>
      <c r="C26" s="56">
        <v>0</v>
      </c>
      <c r="D26" s="56"/>
      <c r="E26" s="56">
        <v>0</v>
      </c>
      <c r="F26" s="56"/>
      <c r="G26" s="56">
        <v>0</v>
      </c>
      <c r="H26" s="56"/>
      <c r="I26" s="56">
        <f t="shared" si="0"/>
        <v>0</v>
      </c>
      <c r="J26" s="56"/>
      <c r="K26" s="56">
        <v>562500</v>
      </c>
      <c r="L26" s="56"/>
      <c r="M26" s="56">
        <v>5927023187</v>
      </c>
      <c r="N26" s="56"/>
      <c r="O26" s="56">
        <v>5031619937</v>
      </c>
      <c r="P26" s="56"/>
      <c r="Q26" s="56">
        <f t="shared" si="1"/>
        <v>895403250</v>
      </c>
      <c r="R26" s="56"/>
    </row>
    <row r="27" spans="1:18" ht="21.75" customHeight="1">
      <c r="A27" s="6" t="s">
        <v>106</v>
      </c>
      <c r="C27" s="56">
        <v>0</v>
      </c>
      <c r="D27" s="51"/>
      <c r="E27" s="56">
        <v>0</v>
      </c>
      <c r="F27" s="51"/>
      <c r="G27" s="56">
        <v>0</v>
      </c>
      <c r="H27" s="51"/>
      <c r="I27" s="56">
        <f t="shared" si="0"/>
        <v>0</v>
      </c>
      <c r="J27" s="51"/>
      <c r="K27" s="56">
        <v>357423420</v>
      </c>
      <c r="L27" s="51"/>
      <c r="M27" s="56">
        <v>124218048593</v>
      </c>
      <c r="N27" s="51"/>
      <c r="O27" s="56">
        <v>177349170964</v>
      </c>
      <c r="P27" s="51"/>
      <c r="Q27" s="56">
        <f t="shared" si="1"/>
        <v>-53131122371</v>
      </c>
      <c r="R27" s="56"/>
    </row>
    <row r="28" spans="1:18" ht="21.75" customHeight="1">
      <c r="A28" s="6" t="s">
        <v>107</v>
      </c>
      <c r="C28" s="56">
        <v>0</v>
      </c>
      <c r="D28" s="51"/>
      <c r="E28" s="56">
        <v>0</v>
      </c>
      <c r="F28" s="51"/>
      <c r="G28" s="56">
        <v>0</v>
      </c>
      <c r="H28" s="51"/>
      <c r="I28" s="56">
        <f t="shared" si="0"/>
        <v>0</v>
      </c>
      <c r="J28" s="51"/>
      <c r="K28" s="56">
        <v>492825</v>
      </c>
      <c r="L28" s="51"/>
      <c r="M28" s="56">
        <v>55173624414</v>
      </c>
      <c r="N28" s="51"/>
      <c r="O28" s="56">
        <v>61984102591</v>
      </c>
      <c r="P28" s="51"/>
      <c r="Q28" s="56">
        <f t="shared" si="1"/>
        <v>-6810478177</v>
      </c>
      <c r="R28" s="56"/>
    </row>
    <row r="29" spans="1:18" ht="21.75" customHeight="1">
      <c r="A29" s="6" t="s">
        <v>116</v>
      </c>
      <c r="C29" s="56">
        <v>0</v>
      </c>
      <c r="D29" s="51"/>
      <c r="E29" s="56">
        <v>0</v>
      </c>
      <c r="F29" s="51"/>
      <c r="G29" s="56">
        <v>0</v>
      </c>
      <c r="H29" s="51"/>
      <c r="I29" s="56">
        <f t="shared" si="0"/>
        <v>0</v>
      </c>
      <c r="J29" s="51"/>
      <c r="K29" s="56">
        <v>14121126</v>
      </c>
      <c r="L29" s="51"/>
      <c r="M29" s="56">
        <v>32663515229</v>
      </c>
      <c r="N29" s="51"/>
      <c r="O29" s="56">
        <v>32777602823</v>
      </c>
      <c r="P29" s="51"/>
      <c r="Q29" s="56">
        <f t="shared" si="1"/>
        <v>-114087594</v>
      </c>
      <c r="R29" s="56"/>
    </row>
    <row r="30" spans="1:18" ht="21.75" customHeight="1">
      <c r="A30" s="6" t="s">
        <v>117</v>
      </c>
      <c r="C30" s="56">
        <v>0</v>
      </c>
      <c r="D30" s="51"/>
      <c r="E30" s="56">
        <v>0</v>
      </c>
      <c r="F30" s="51"/>
      <c r="G30" s="56">
        <v>0</v>
      </c>
      <c r="H30" s="51"/>
      <c r="I30" s="56">
        <f t="shared" si="0"/>
        <v>0</v>
      </c>
      <c r="J30" s="51"/>
      <c r="K30" s="56">
        <v>276555702</v>
      </c>
      <c r="L30" s="51"/>
      <c r="M30" s="56">
        <v>140158911617</v>
      </c>
      <c r="N30" s="51"/>
      <c r="O30" s="56">
        <v>192753620291</v>
      </c>
      <c r="P30" s="51"/>
      <c r="Q30" s="56">
        <f t="shared" si="1"/>
        <v>-52594708674</v>
      </c>
      <c r="R30" s="56"/>
    </row>
    <row r="31" spans="1:18" ht="21.75" customHeight="1">
      <c r="A31" s="6" t="s">
        <v>278</v>
      </c>
      <c r="C31" s="56">
        <v>0</v>
      </c>
      <c r="D31" s="51"/>
      <c r="E31" s="56">
        <v>0</v>
      </c>
      <c r="F31" s="51"/>
      <c r="G31" s="56">
        <v>0</v>
      </c>
      <c r="H31" s="51"/>
      <c r="I31" s="56">
        <f t="shared" si="0"/>
        <v>0</v>
      </c>
      <c r="J31" s="51"/>
      <c r="K31" s="56">
        <v>920224677</v>
      </c>
      <c r="L31" s="51"/>
      <c r="M31" s="56">
        <v>527894442971</v>
      </c>
      <c r="N31" s="51"/>
      <c r="O31" s="56">
        <v>597799030703</v>
      </c>
      <c r="P31" s="51"/>
      <c r="Q31" s="56">
        <f t="shared" si="1"/>
        <v>-69904587732</v>
      </c>
      <c r="R31" s="56"/>
    </row>
    <row r="32" spans="1:18" ht="21.75" customHeight="1">
      <c r="A32" s="6" t="s">
        <v>118</v>
      </c>
      <c r="C32" s="56">
        <v>0</v>
      </c>
      <c r="D32" s="51"/>
      <c r="E32" s="56">
        <v>0</v>
      </c>
      <c r="F32" s="51"/>
      <c r="G32" s="56">
        <v>0</v>
      </c>
      <c r="H32" s="51"/>
      <c r="I32" s="56">
        <f t="shared" si="0"/>
        <v>0</v>
      </c>
      <c r="J32" s="51"/>
      <c r="K32" s="56">
        <v>3907695</v>
      </c>
      <c r="L32" s="51"/>
      <c r="M32" s="56">
        <v>17482114832</v>
      </c>
      <c r="N32" s="51"/>
      <c r="O32" s="56">
        <v>16831535673</v>
      </c>
      <c r="P32" s="51"/>
      <c r="Q32" s="56">
        <f t="shared" si="1"/>
        <v>650579159</v>
      </c>
      <c r="R32" s="56"/>
    </row>
    <row r="33" spans="1:18" ht="21.75" customHeight="1">
      <c r="A33" s="6" t="s">
        <v>98</v>
      </c>
      <c r="C33" s="56">
        <v>0</v>
      </c>
      <c r="D33" s="51"/>
      <c r="E33" s="56">
        <v>0</v>
      </c>
      <c r="F33" s="51"/>
      <c r="G33" s="56">
        <v>0</v>
      </c>
      <c r="H33" s="51"/>
      <c r="I33" s="56">
        <f t="shared" si="0"/>
        <v>0</v>
      </c>
      <c r="J33" s="51"/>
      <c r="K33" s="56">
        <v>1361270</v>
      </c>
      <c r="L33" s="51"/>
      <c r="M33" s="56">
        <v>5078448711</v>
      </c>
      <c r="N33" s="51"/>
      <c r="O33" s="56">
        <v>5003396450</v>
      </c>
      <c r="P33" s="51"/>
      <c r="Q33" s="56">
        <f t="shared" si="1"/>
        <v>75052261</v>
      </c>
      <c r="R33" s="56"/>
    </row>
    <row r="34" spans="1:18" ht="21.75" customHeight="1">
      <c r="A34" s="6" t="s">
        <v>99</v>
      </c>
      <c r="C34" s="56">
        <v>0</v>
      </c>
      <c r="D34" s="51"/>
      <c r="E34" s="56">
        <v>0</v>
      </c>
      <c r="F34" s="51"/>
      <c r="G34" s="56">
        <v>0</v>
      </c>
      <c r="H34" s="51"/>
      <c r="I34" s="56">
        <f t="shared" si="0"/>
        <v>0</v>
      </c>
      <c r="J34" s="51"/>
      <c r="K34" s="56">
        <v>3388507</v>
      </c>
      <c r="L34" s="51"/>
      <c r="M34" s="56">
        <v>8182939342</v>
      </c>
      <c r="N34" s="51"/>
      <c r="O34" s="56">
        <v>10500677937</v>
      </c>
      <c r="P34" s="51"/>
      <c r="Q34" s="56">
        <f t="shared" si="1"/>
        <v>-2317738595</v>
      </c>
      <c r="R34" s="56"/>
    </row>
    <row r="35" spans="1:18" ht="21.75" customHeight="1">
      <c r="A35" s="6" t="s">
        <v>124</v>
      </c>
      <c r="C35" s="56">
        <v>0</v>
      </c>
      <c r="D35" s="51"/>
      <c r="E35" s="56">
        <v>0</v>
      </c>
      <c r="F35" s="51"/>
      <c r="G35" s="56">
        <v>0</v>
      </c>
      <c r="H35" s="51"/>
      <c r="I35" s="56">
        <f t="shared" si="0"/>
        <v>0</v>
      </c>
      <c r="J35" s="51"/>
      <c r="K35" s="56">
        <v>600000</v>
      </c>
      <c r="L35" s="51"/>
      <c r="M35" s="56">
        <v>2122355318</v>
      </c>
      <c r="N35" s="51"/>
      <c r="O35" s="56">
        <v>1974004763</v>
      </c>
      <c r="P35" s="51"/>
      <c r="Q35" s="56">
        <f t="shared" si="1"/>
        <v>148350555</v>
      </c>
      <c r="R35" s="56"/>
    </row>
    <row r="36" spans="1:18" ht="21.75" customHeight="1">
      <c r="A36" s="6" t="s">
        <v>125</v>
      </c>
      <c r="C36" s="56">
        <v>0</v>
      </c>
      <c r="D36" s="51"/>
      <c r="E36" s="56">
        <v>0</v>
      </c>
      <c r="F36" s="51"/>
      <c r="G36" s="56">
        <v>0</v>
      </c>
      <c r="H36" s="51"/>
      <c r="I36" s="56">
        <f t="shared" si="0"/>
        <v>0</v>
      </c>
      <c r="J36" s="51"/>
      <c r="K36" s="56">
        <v>969585</v>
      </c>
      <c r="L36" s="51"/>
      <c r="M36" s="56">
        <v>45759935396</v>
      </c>
      <c r="N36" s="51"/>
      <c r="O36" s="56">
        <v>62036801158</v>
      </c>
      <c r="P36" s="51"/>
      <c r="Q36" s="56">
        <f t="shared" si="1"/>
        <v>-16276865762</v>
      </c>
      <c r="R36" s="56"/>
    </row>
    <row r="37" spans="1:18" ht="21.75" customHeight="1">
      <c r="A37" s="6" t="s">
        <v>36</v>
      </c>
      <c r="C37" s="56">
        <v>0</v>
      </c>
      <c r="D37" s="51"/>
      <c r="E37" s="56">
        <v>0</v>
      </c>
      <c r="F37" s="51"/>
      <c r="G37" s="56">
        <v>0</v>
      </c>
      <c r="H37" s="51"/>
      <c r="I37" s="56">
        <f t="shared" si="0"/>
        <v>0</v>
      </c>
      <c r="J37" s="51"/>
      <c r="K37" s="56">
        <v>20000000</v>
      </c>
      <c r="L37" s="51"/>
      <c r="M37" s="56">
        <v>31366075669</v>
      </c>
      <c r="N37" s="51"/>
      <c r="O37" s="56">
        <v>31476788287</v>
      </c>
      <c r="P37" s="51"/>
      <c r="Q37" s="56">
        <f t="shared" si="1"/>
        <v>-110712618</v>
      </c>
      <c r="R37" s="56"/>
    </row>
    <row r="38" spans="1:18" ht="21.75" customHeight="1">
      <c r="A38" s="6" t="s">
        <v>279</v>
      </c>
      <c r="C38" s="56">
        <v>0</v>
      </c>
      <c r="D38" s="51"/>
      <c r="E38" s="56">
        <v>0</v>
      </c>
      <c r="F38" s="51"/>
      <c r="G38" s="56">
        <v>0</v>
      </c>
      <c r="H38" s="51"/>
      <c r="I38" s="56">
        <f t="shared" si="0"/>
        <v>0</v>
      </c>
      <c r="J38" s="51"/>
      <c r="K38" s="56">
        <v>1300000</v>
      </c>
      <c r="L38" s="51"/>
      <c r="M38" s="56">
        <v>29753360606</v>
      </c>
      <c r="N38" s="51"/>
      <c r="O38" s="56">
        <v>24026031506</v>
      </c>
      <c r="P38" s="51"/>
      <c r="Q38" s="56">
        <f t="shared" si="1"/>
        <v>5727329100</v>
      </c>
      <c r="R38" s="56"/>
    </row>
    <row r="39" spans="1:18" ht="21.75" customHeight="1">
      <c r="A39" s="6" t="s">
        <v>40</v>
      </c>
      <c r="C39" s="56">
        <v>0</v>
      </c>
      <c r="D39" s="51"/>
      <c r="E39" s="56">
        <v>0</v>
      </c>
      <c r="F39" s="51"/>
      <c r="G39" s="56">
        <v>0</v>
      </c>
      <c r="H39" s="51"/>
      <c r="I39" s="56">
        <f t="shared" si="0"/>
        <v>0</v>
      </c>
      <c r="J39" s="51"/>
      <c r="K39" s="56">
        <v>9365072</v>
      </c>
      <c r="L39" s="51"/>
      <c r="M39" s="56">
        <v>141719750093</v>
      </c>
      <c r="N39" s="51"/>
      <c r="O39" s="56">
        <v>147851065895</v>
      </c>
      <c r="P39" s="51"/>
      <c r="Q39" s="56">
        <f t="shared" si="1"/>
        <v>-6131315802</v>
      </c>
      <c r="R39" s="56"/>
    </row>
    <row r="40" spans="1:18" ht="21.75" customHeight="1">
      <c r="A40" s="6" t="s">
        <v>100</v>
      </c>
      <c r="C40" s="56">
        <v>0</v>
      </c>
      <c r="D40" s="51"/>
      <c r="E40" s="56">
        <v>0</v>
      </c>
      <c r="F40" s="51"/>
      <c r="G40" s="56">
        <v>0</v>
      </c>
      <c r="H40" s="51"/>
      <c r="I40" s="56">
        <f t="shared" si="0"/>
        <v>0</v>
      </c>
      <c r="J40" s="51"/>
      <c r="K40" s="56">
        <v>194</v>
      </c>
      <c r="L40" s="51"/>
      <c r="M40" s="56">
        <v>9223812</v>
      </c>
      <c r="N40" s="51"/>
      <c r="O40" s="56">
        <v>9203314</v>
      </c>
      <c r="P40" s="51"/>
      <c r="Q40" s="56">
        <f t="shared" si="1"/>
        <v>20498</v>
      </c>
      <c r="R40" s="56"/>
    </row>
    <row r="41" spans="1:18" ht="21.75" customHeight="1">
      <c r="A41" s="6" t="s">
        <v>263</v>
      </c>
      <c r="C41" s="56">
        <v>0</v>
      </c>
      <c r="D41" s="51"/>
      <c r="E41" s="56">
        <v>0</v>
      </c>
      <c r="F41" s="51"/>
      <c r="G41" s="56">
        <v>0</v>
      </c>
      <c r="H41" s="51"/>
      <c r="I41" s="56">
        <f t="shared" si="0"/>
        <v>0</v>
      </c>
      <c r="J41" s="51"/>
      <c r="K41" s="56">
        <v>232648</v>
      </c>
      <c r="L41" s="51"/>
      <c r="M41" s="56">
        <v>366187952</v>
      </c>
      <c r="N41" s="51"/>
      <c r="O41" s="56">
        <v>366187952</v>
      </c>
      <c r="P41" s="51"/>
      <c r="Q41" s="56">
        <f t="shared" si="1"/>
        <v>0</v>
      </c>
      <c r="R41" s="56"/>
    </row>
    <row r="42" spans="1:18" ht="21.75" customHeight="1">
      <c r="A42" s="6" t="s">
        <v>119</v>
      </c>
      <c r="C42" s="56">
        <v>0</v>
      </c>
      <c r="D42" s="51"/>
      <c r="E42" s="56">
        <v>0</v>
      </c>
      <c r="F42" s="51"/>
      <c r="G42" s="56">
        <v>0</v>
      </c>
      <c r="H42" s="51"/>
      <c r="I42" s="56">
        <f t="shared" si="0"/>
        <v>0</v>
      </c>
      <c r="J42" s="51"/>
      <c r="K42" s="56">
        <v>5855557</v>
      </c>
      <c r="L42" s="51"/>
      <c r="M42" s="56">
        <v>42296623077</v>
      </c>
      <c r="N42" s="51"/>
      <c r="O42" s="56">
        <v>35544235097</v>
      </c>
      <c r="P42" s="51"/>
      <c r="Q42" s="56">
        <f t="shared" si="1"/>
        <v>6752387980</v>
      </c>
      <c r="R42" s="56"/>
    </row>
    <row r="43" spans="1:18" ht="21.75" customHeight="1">
      <c r="A43" s="6" t="s">
        <v>120</v>
      </c>
      <c r="C43" s="56">
        <v>0</v>
      </c>
      <c r="D43" s="51"/>
      <c r="E43" s="56">
        <v>0</v>
      </c>
      <c r="F43" s="51"/>
      <c r="G43" s="56">
        <v>0</v>
      </c>
      <c r="H43" s="51"/>
      <c r="I43" s="56">
        <f t="shared" si="0"/>
        <v>0</v>
      </c>
      <c r="J43" s="51"/>
      <c r="K43" s="56">
        <v>4800000</v>
      </c>
      <c r="L43" s="51"/>
      <c r="M43" s="56">
        <v>15788695018</v>
      </c>
      <c r="N43" s="51"/>
      <c r="O43" s="56">
        <v>18079909978</v>
      </c>
      <c r="P43" s="51"/>
      <c r="Q43" s="56">
        <f t="shared" si="1"/>
        <v>-2291214960</v>
      </c>
      <c r="R43" s="56"/>
    </row>
    <row r="44" spans="1:18" ht="21.75" customHeight="1">
      <c r="A44" s="6" t="s">
        <v>18</v>
      </c>
      <c r="C44" s="56">
        <v>0</v>
      </c>
      <c r="D44" s="51"/>
      <c r="E44" s="56">
        <v>0</v>
      </c>
      <c r="F44" s="51"/>
      <c r="G44" s="56">
        <v>0</v>
      </c>
      <c r="H44" s="51"/>
      <c r="I44" s="56">
        <f t="shared" si="0"/>
        <v>0</v>
      </c>
      <c r="J44" s="51"/>
      <c r="K44" s="56">
        <v>971766</v>
      </c>
      <c r="L44" s="51"/>
      <c r="M44" s="56">
        <v>2628557103</v>
      </c>
      <c r="N44" s="51"/>
      <c r="O44" s="56">
        <v>2555686256</v>
      </c>
      <c r="P44" s="51"/>
      <c r="Q44" s="56">
        <f t="shared" si="1"/>
        <v>72870847</v>
      </c>
      <c r="R44" s="56"/>
    </row>
    <row r="45" spans="1:18" ht="21.75" customHeight="1">
      <c r="A45" s="6" t="s">
        <v>35</v>
      </c>
      <c r="C45" s="56">
        <v>0</v>
      </c>
      <c r="D45" s="51"/>
      <c r="E45" s="56">
        <v>0</v>
      </c>
      <c r="F45" s="51"/>
      <c r="G45" s="56">
        <v>0</v>
      </c>
      <c r="H45" s="51"/>
      <c r="I45" s="56">
        <f t="shared" si="0"/>
        <v>0</v>
      </c>
      <c r="J45" s="51"/>
      <c r="K45" s="56">
        <v>13649816</v>
      </c>
      <c r="L45" s="51"/>
      <c r="M45" s="56">
        <v>48434874509</v>
      </c>
      <c r="N45" s="51"/>
      <c r="O45" s="56">
        <v>32801028580</v>
      </c>
      <c r="P45" s="51"/>
      <c r="Q45" s="56">
        <f t="shared" si="1"/>
        <v>15633845929</v>
      </c>
      <c r="R45" s="56"/>
    </row>
    <row r="46" spans="1:18" ht="21.75" customHeight="1">
      <c r="A46" s="6" t="s">
        <v>121</v>
      </c>
      <c r="C46" s="56">
        <v>0</v>
      </c>
      <c r="D46" s="51"/>
      <c r="E46" s="56">
        <v>0</v>
      </c>
      <c r="F46" s="51"/>
      <c r="G46" s="56">
        <v>0</v>
      </c>
      <c r="H46" s="51"/>
      <c r="I46" s="56">
        <f t="shared" si="0"/>
        <v>0</v>
      </c>
      <c r="J46" s="51"/>
      <c r="K46" s="56">
        <v>3400890</v>
      </c>
      <c r="L46" s="51"/>
      <c r="M46" s="56">
        <v>35608016756</v>
      </c>
      <c r="N46" s="51"/>
      <c r="O46" s="56">
        <v>28319590131</v>
      </c>
      <c r="P46" s="51"/>
      <c r="Q46" s="56">
        <f t="shared" si="1"/>
        <v>7288426625</v>
      </c>
      <c r="R46" s="56"/>
    </row>
    <row r="47" spans="1:18" ht="21.75" customHeight="1">
      <c r="A47" s="6" t="s">
        <v>128</v>
      </c>
      <c r="C47" s="56">
        <v>0</v>
      </c>
      <c r="D47" s="51"/>
      <c r="E47" s="56">
        <v>0</v>
      </c>
      <c r="F47" s="51"/>
      <c r="G47" s="56">
        <v>0</v>
      </c>
      <c r="H47" s="51"/>
      <c r="I47" s="56">
        <f t="shared" si="0"/>
        <v>0</v>
      </c>
      <c r="J47" s="51"/>
      <c r="K47" s="56">
        <v>2632453</v>
      </c>
      <c r="L47" s="51"/>
      <c r="M47" s="56">
        <v>7431683364</v>
      </c>
      <c r="N47" s="51"/>
      <c r="O47" s="56">
        <v>5379284715</v>
      </c>
      <c r="P47" s="51"/>
      <c r="Q47" s="56">
        <f t="shared" si="1"/>
        <v>2052398649</v>
      </c>
      <c r="R47" s="56"/>
    </row>
    <row r="48" spans="1:18" ht="21.75" customHeight="1">
      <c r="A48" s="6" t="s">
        <v>27</v>
      </c>
      <c r="C48" s="56">
        <v>0</v>
      </c>
      <c r="D48" s="51"/>
      <c r="E48" s="56">
        <v>0</v>
      </c>
      <c r="F48" s="51"/>
      <c r="G48" s="56">
        <v>0</v>
      </c>
      <c r="H48" s="51"/>
      <c r="I48" s="56">
        <f t="shared" si="0"/>
        <v>0</v>
      </c>
      <c r="J48" s="51"/>
      <c r="K48" s="56">
        <v>43524995</v>
      </c>
      <c r="L48" s="51"/>
      <c r="M48" s="56">
        <v>83322640280</v>
      </c>
      <c r="N48" s="51"/>
      <c r="O48" s="56">
        <v>132176161239</v>
      </c>
      <c r="P48" s="51"/>
      <c r="Q48" s="56">
        <f t="shared" si="1"/>
        <v>-48853520959</v>
      </c>
      <c r="R48" s="56"/>
    </row>
    <row r="49" spans="1:18" ht="21.75" customHeight="1">
      <c r="A49" s="6" t="s">
        <v>113</v>
      </c>
      <c r="C49" s="56">
        <v>0</v>
      </c>
      <c r="D49" s="51"/>
      <c r="E49" s="56">
        <v>0</v>
      </c>
      <c r="F49" s="51"/>
      <c r="G49" s="56">
        <v>0</v>
      </c>
      <c r="H49" s="51"/>
      <c r="I49" s="56">
        <f t="shared" si="0"/>
        <v>0</v>
      </c>
      <c r="J49" s="51"/>
      <c r="K49" s="56">
        <v>249996</v>
      </c>
      <c r="L49" s="51"/>
      <c r="M49" s="56">
        <v>1819082428</v>
      </c>
      <c r="N49" s="51"/>
      <c r="O49" s="56">
        <v>1718731033</v>
      </c>
      <c r="P49" s="51"/>
      <c r="Q49" s="56">
        <f t="shared" si="1"/>
        <v>100351395</v>
      </c>
      <c r="R49" s="56"/>
    </row>
    <row r="50" spans="1:18" ht="21.75" customHeight="1">
      <c r="A50" s="6" t="s">
        <v>114</v>
      </c>
      <c r="C50" s="56">
        <v>0</v>
      </c>
      <c r="D50" s="51"/>
      <c r="E50" s="56">
        <v>0</v>
      </c>
      <c r="F50" s="51"/>
      <c r="G50" s="56">
        <v>0</v>
      </c>
      <c r="H50" s="51"/>
      <c r="I50" s="56">
        <f t="shared" si="0"/>
        <v>0</v>
      </c>
      <c r="J50" s="51"/>
      <c r="K50" s="56">
        <v>1800000</v>
      </c>
      <c r="L50" s="51"/>
      <c r="M50" s="56">
        <v>12739890974</v>
      </c>
      <c r="N50" s="51"/>
      <c r="O50" s="56">
        <v>9764838974</v>
      </c>
      <c r="P50" s="51"/>
      <c r="Q50" s="56">
        <f t="shared" si="1"/>
        <v>2975052000</v>
      </c>
      <c r="R50" s="56"/>
    </row>
    <row r="51" spans="1:18" ht="21.75" customHeight="1">
      <c r="A51" s="6" t="s">
        <v>37</v>
      </c>
      <c r="C51" s="56">
        <v>0</v>
      </c>
      <c r="D51" s="51"/>
      <c r="E51" s="56">
        <v>0</v>
      </c>
      <c r="F51" s="51"/>
      <c r="G51" s="56">
        <v>0</v>
      </c>
      <c r="H51" s="51"/>
      <c r="I51" s="56">
        <f t="shared" si="0"/>
        <v>0</v>
      </c>
      <c r="J51" s="51"/>
      <c r="K51" s="56">
        <v>2682148</v>
      </c>
      <c r="L51" s="51"/>
      <c r="M51" s="56">
        <v>147685318963</v>
      </c>
      <c r="N51" s="51"/>
      <c r="O51" s="56">
        <v>159781044334</v>
      </c>
      <c r="P51" s="51"/>
      <c r="Q51" s="56">
        <f t="shared" si="1"/>
        <v>-12095725371</v>
      </c>
      <c r="R51" s="56"/>
    </row>
    <row r="52" spans="1:18" ht="21.75" customHeight="1">
      <c r="A52" s="6" t="s">
        <v>115</v>
      </c>
      <c r="C52" s="56">
        <v>0</v>
      </c>
      <c r="D52" s="51"/>
      <c r="E52" s="56">
        <v>0</v>
      </c>
      <c r="F52" s="51"/>
      <c r="G52" s="56">
        <v>0</v>
      </c>
      <c r="H52" s="51"/>
      <c r="I52" s="56">
        <f t="shared" si="0"/>
        <v>0</v>
      </c>
      <c r="J52" s="51"/>
      <c r="K52" s="56">
        <v>43077669</v>
      </c>
      <c r="L52" s="51"/>
      <c r="M52" s="56">
        <v>181831355598</v>
      </c>
      <c r="N52" s="51"/>
      <c r="O52" s="56">
        <v>154793615191</v>
      </c>
      <c r="P52" s="51"/>
      <c r="Q52" s="56">
        <f t="shared" si="1"/>
        <v>27037740407</v>
      </c>
      <c r="R52" s="56"/>
    </row>
    <row r="53" spans="1:18" ht="21.75" customHeight="1">
      <c r="A53" s="6" t="s">
        <v>31</v>
      </c>
      <c r="C53" s="56">
        <v>0</v>
      </c>
      <c r="D53" s="51"/>
      <c r="E53" s="56">
        <v>0</v>
      </c>
      <c r="F53" s="51"/>
      <c r="G53" s="56">
        <v>0</v>
      </c>
      <c r="H53" s="51"/>
      <c r="I53" s="56">
        <f t="shared" si="0"/>
        <v>0</v>
      </c>
      <c r="J53" s="51"/>
      <c r="K53" s="56">
        <v>175581090</v>
      </c>
      <c r="L53" s="51"/>
      <c r="M53" s="56">
        <v>223244308606</v>
      </c>
      <c r="N53" s="51"/>
      <c r="O53" s="56">
        <v>266289414235</v>
      </c>
      <c r="P53" s="51"/>
      <c r="Q53" s="56">
        <f t="shared" si="1"/>
        <v>-43045105629</v>
      </c>
      <c r="R53" s="56"/>
    </row>
    <row r="54" spans="1:18" ht="21.75" customHeight="1">
      <c r="A54" s="6" t="s">
        <v>127</v>
      </c>
      <c r="C54" s="56">
        <v>0</v>
      </c>
      <c r="D54" s="51"/>
      <c r="E54" s="56">
        <v>0</v>
      </c>
      <c r="F54" s="51"/>
      <c r="G54" s="56">
        <v>0</v>
      </c>
      <c r="H54" s="51"/>
      <c r="I54" s="56">
        <f t="shared" si="0"/>
        <v>0</v>
      </c>
      <c r="J54" s="51"/>
      <c r="K54" s="56">
        <v>5085120</v>
      </c>
      <c r="L54" s="51"/>
      <c r="M54" s="56">
        <v>31698906853</v>
      </c>
      <c r="N54" s="51"/>
      <c r="O54" s="56">
        <v>35285457019</v>
      </c>
      <c r="P54" s="51"/>
      <c r="Q54" s="56">
        <f t="shared" si="1"/>
        <v>-3586550166</v>
      </c>
      <c r="R54" s="56"/>
    </row>
    <row r="55" spans="1:18" ht="21.75" customHeight="1">
      <c r="A55" s="6" t="s">
        <v>280</v>
      </c>
      <c r="C55" s="56">
        <v>0</v>
      </c>
      <c r="D55" s="51"/>
      <c r="E55" s="56">
        <v>0</v>
      </c>
      <c r="F55" s="51"/>
      <c r="G55" s="56">
        <v>0</v>
      </c>
      <c r="H55" s="51"/>
      <c r="I55" s="56">
        <f t="shared" si="0"/>
        <v>0</v>
      </c>
      <c r="J55" s="51"/>
      <c r="K55" s="56">
        <v>1657992</v>
      </c>
      <c r="L55" s="51"/>
      <c r="M55" s="56">
        <v>9361361093</v>
      </c>
      <c r="N55" s="51"/>
      <c r="O55" s="56">
        <v>5760206531</v>
      </c>
      <c r="P55" s="51"/>
      <c r="Q55" s="56">
        <f t="shared" si="1"/>
        <v>3601154562</v>
      </c>
      <c r="R55" s="56"/>
    </row>
    <row r="56" spans="1:18" ht="21.75" customHeight="1">
      <c r="A56" s="6" t="s">
        <v>28</v>
      </c>
      <c r="C56" s="56">
        <v>0</v>
      </c>
      <c r="D56" s="51"/>
      <c r="E56" s="56">
        <v>0</v>
      </c>
      <c r="F56" s="51"/>
      <c r="G56" s="56">
        <v>0</v>
      </c>
      <c r="H56" s="51"/>
      <c r="I56" s="56">
        <f t="shared" si="0"/>
        <v>0</v>
      </c>
      <c r="J56" s="51"/>
      <c r="K56" s="56">
        <v>1200000</v>
      </c>
      <c r="L56" s="51"/>
      <c r="M56" s="56">
        <v>8723782853</v>
      </c>
      <c r="N56" s="51"/>
      <c r="O56" s="56">
        <v>7812308861</v>
      </c>
      <c r="P56" s="51"/>
      <c r="Q56" s="56">
        <f t="shared" si="1"/>
        <v>911473992</v>
      </c>
      <c r="R56" s="56"/>
    </row>
    <row r="57" spans="1:18" ht="21.75" customHeight="1">
      <c r="A57" s="6" t="s">
        <v>101</v>
      </c>
      <c r="C57" s="56">
        <v>0</v>
      </c>
      <c r="D57" s="51"/>
      <c r="E57" s="56">
        <v>0</v>
      </c>
      <c r="F57" s="51"/>
      <c r="G57" s="56">
        <v>0</v>
      </c>
      <c r="H57" s="51"/>
      <c r="I57" s="56">
        <f t="shared" si="0"/>
        <v>0</v>
      </c>
      <c r="J57" s="51"/>
      <c r="K57" s="56">
        <v>200000000</v>
      </c>
      <c r="L57" s="51"/>
      <c r="M57" s="56">
        <v>97845891219</v>
      </c>
      <c r="N57" s="51"/>
      <c r="O57" s="56">
        <v>125123597743</v>
      </c>
      <c r="P57" s="51"/>
      <c r="Q57" s="56">
        <f t="shared" si="1"/>
        <v>-27277706524</v>
      </c>
      <c r="R57" s="56"/>
    </row>
    <row r="58" spans="1:18" ht="21.75" customHeight="1">
      <c r="A58" s="6" t="s">
        <v>43</v>
      </c>
      <c r="C58" s="56">
        <v>0</v>
      </c>
      <c r="D58" s="51"/>
      <c r="E58" s="56">
        <v>0</v>
      </c>
      <c r="F58" s="51"/>
      <c r="G58" s="56">
        <v>0</v>
      </c>
      <c r="H58" s="51"/>
      <c r="I58" s="56">
        <f t="shared" si="0"/>
        <v>0</v>
      </c>
      <c r="J58" s="51"/>
      <c r="K58" s="56">
        <v>11384172</v>
      </c>
      <c r="L58" s="51"/>
      <c r="M58" s="56">
        <v>81632931096</v>
      </c>
      <c r="N58" s="51"/>
      <c r="O58" s="56">
        <v>101970405108</v>
      </c>
      <c r="P58" s="51"/>
      <c r="Q58" s="56">
        <f t="shared" si="1"/>
        <v>-20337474012</v>
      </c>
      <c r="R58" s="56"/>
    </row>
    <row r="59" spans="1:18" ht="21.75" customHeight="1">
      <c r="A59" s="6" t="s">
        <v>24</v>
      </c>
      <c r="C59" s="56">
        <v>0</v>
      </c>
      <c r="D59" s="51"/>
      <c r="E59" s="56">
        <v>0</v>
      </c>
      <c r="F59" s="51"/>
      <c r="G59" s="56">
        <v>0</v>
      </c>
      <c r="H59" s="51"/>
      <c r="I59" s="56">
        <f t="shared" si="0"/>
        <v>0</v>
      </c>
      <c r="J59" s="51"/>
      <c r="K59" s="56">
        <v>1018366</v>
      </c>
      <c r="L59" s="51"/>
      <c r="M59" s="56">
        <v>39176493685</v>
      </c>
      <c r="N59" s="51"/>
      <c r="O59" s="56">
        <v>35515773463</v>
      </c>
      <c r="P59" s="51"/>
      <c r="Q59" s="56">
        <f t="shared" si="1"/>
        <v>3660720222</v>
      </c>
      <c r="R59" s="56"/>
    </row>
    <row r="60" spans="1:18" ht="21.75" customHeight="1">
      <c r="A60" s="6" t="s">
        <v>102</v>
      </c>
      <c r="C60" s="56">
        <v>0</v>
      </c>
      <c r="D60" s="51"/>
      <c r="E60" s="56">
        <v>0</v>
      </c>
      <c r="F60" s="51"/>
      <c r="G60" s="56">
        <v>0</v>
      </c>
      <c r="H60" s="51"/>
      <c r="I60" s="56">
        <f t="shared" si="0"/>
        <v>0</v>
      </c>
      <c r="J60" s="51"/>
      <c r="K60" s="56">
        <v>6761804</v>
      </c>
      <c r="L60" s="51"/>
      <c r="M60" s="56">
        <v>84339011447</v>
      </c>
      <c r="N60" s="51"/>
      <c r="O60" s="56">
        <v>85418778379</v>
      </c>
      <c r="P60" s="51"/>
      <c r="Q60" s="56">
        <f t="shared" si="1"/>
        <v>-1079766932</v>
      </c>
      <c r="R60" s="56"/>
    </row>
    <row r="61" spans="1:18" ht="21.75" customHeight="1">
      <c r="A61" s="6" t="s">
        <v>103</v>
      </c>
      <c r="C61" s="56">
        <v>0</v>
      </c>
      <c r="D61" s="51"/>
      <c r="E61" s="56">
        <v>0</v>
      </c>
      <c r="F61" s="51"/>
      <c r="G61" s="56">
        <v>0</v>
      </c>
      <c r="H61" s="51"/>
      <c r="I61" s="56">
        <f t="shared" si="0"/>
        <v>0</v>
      </c>
      <c r="J61" s="51"/>
      <c r="K61" s="56">
        <v>968421</v>
      </c>
      <c r="L61" s="51"/>
      <c r="M61" s="56">
        <v>9093015465</v>
      </c>
      <c r="N61" s="51"/>
      <c r="O61" s="56">
        <v>8243692450</v>
      </c>
      <c r="P61" s="51"/>
      <c r="Q61" s="56">
        <f t="shared" si="1"/>
        <v>849323015</v>
      </c>
      <c r="R61" s="56"/>
    </row>
    <row r="62" spans="1:18" ht="21.75" customHeight="1">
      <c r="A62" s="6" t="s">
        <v>104</v>
      </c>
      <c r="C62" s="56">
        <v>0</v>
      </c>
      <c r="D62" s="56"/>
      <c r="E62" s="56">
        <v>0</v>
      </c>
      <c r="F62" s="56"/>
      <c r="G62" s="56">
        <v>0</v>
      </c>
      <c r="H62" s="56"/>
      <c r="I62" s="56">
        <f t="shared" si="0"/>
        <v>0</v>
      </c>
      <c r="J62" s="56"/>
      <c r="K62" s="56">
        <v>285750</v>
      </c>
      <c r="L62" s="56"/>
      <c r="M62" s="56">
        <v>15213068771</v>
      </c>
      <c r="N62" s="56"/>
      <c r="O62" s="56">
        <v>13529127881</v>
      </c>
      <c r="P62" s="56"/>
      <c r="Q62" s="56">
        <f t="shared" si="1"/>
        <v>1683940890</v>
      </c>
      <c r="R62" s="56"/>
    </row>
    <row r="63" spans="1:18" ht="21.75" customHeight="1">
      <c r="A63" s="6" t="s">
        <v>105</v>
      </c>
      <c r="C63" s="56">
        <v>0</v>
      </c>
      <c r="D63" s="56"/>
      <c r="E63" s="56">
        <v>0</v>
      </c>
      <c r="F63" s="56"/>
      <c r="G63" s="56">
        <v>0</v>
      </c>
      <c r="H63" s="56"/>
      <c r="I63" s="56">
        <f t="shared" si="0"/>
        <v>0</v>
      </c>
      <c r="J63" s="56"/>
      <c r="K63" s="56">
        <v>1497946</v>
      </c>
      <c r="L63" s="56"/>
      <c r="M63" s="56">
        <v>5314124360</v>
      </c>
      <c r="N63" s="56"/>
      <c r="O63" s="56">
        <v>5709865739</v>
      </c>
      <c r="P63" s="56"/>
      <c r="Q63" s="56">
        <f t="shared" si="1"/>
        <v>-395741379</v>
      </c>
      <c r="R63" s="56"/>
    </row>
    <row r="64" spans="1:18" ht="21.75" customHeight="1">
      <c r="A64" s="6" t="s">
        <v>108</v>
      </c>
      <c r="C64" s="56">
        <v>0</v>
      </c>
      <c r="D64" s="56"/>
      <c r="E64" s="56">
        <v>0</v>
      </c>
      <c r="F64" s="56"/>
      <c r="G64" s="56">
        <v>0</v>
      </c>
      <c r="H64" s="56"/>
      <c r="I64" s="56">
        <f t="shared" si="0"/>
        <v>0</v>
      </c>
      <c r="J64" s="56"/>
      <c r="K64" s="56">
        <v>13000000</v>
      </c>
      <c r="L64" s="56"/>
      <c r="M64" s="56">
        <v>29865471476</v>
      </c>
      <c r="N64" s="56"/>
      <c r="O64" s="56">
        <v>29607945219</v>
      </c>
      <c r="P64" s="56"/>
      <c r="Q64" s="56">
        <f t="shared" si="1"/>
        <v>257526257</v>
      </c>
      <c r="R64" s="56"/>
    </row>
    <row r="65" spans="1:18" ht="21.75" customHeight="1">
      <c r="A65" s="6" t="s">
        <v>109</v>
      </c>
      <c r="C65" s="56">
        <v>0</v>
      </c>
      <c r="D65" s="56"/>
      <c r="E65" s="56">
        <v>0</v>
      </c>
      <c r="F65" s="56"/>
      <c r="G65" s="56">
        <v>0</v>
      </c>
      <c r="H65" s="56"/>
      <c r="I65" s="56">
        <f t="shared" si="0"/>
        <v>0</v>
      </c>
      <c r="J65" s="56"/>
      <c r="K65" s="56">
        <v>220000</v>
      </c>
      <c r="L65" s="56"/>
      <c r="M65" s="56">
        <v>1421491509</v>
      </c>
      <c r="N65" s="56"/>
      <c r="O65" s="56">
        <v>1559505979</v>
      </c>
      <c r="P65" s="56"/>
      <c r="Q65" s="56">
        <f t="shared" si="1"/>
        <v>-138014470</v>
      </c>
      <c r="R65" s="56"/>
    </row>
    <row r="66" spans="1:18" ht="21.75" customHeight="1">
      <c r="A66" s="6" t="s">
        <v>21</v>
      </c>
      <c r="C66" s="56">
        <v>0</v>
      </c>
      <c r="D66" s="56"/>
      <c r="E66" s="56">
        <v>0</v>
      </c>
      <c r="F66" s="56"/>
      <c r="G66" s="56">
        <v>0</v>
      </c>
      <c r="H66" s="56"/>
      <c r="I66" s="56">
        <f t="shared" si="0"/>
        <v>0</v>
      </c>
      <c r="J66" s="56"/>
      <c r="K66" s="56">
        <v>4012039</v>
      </c>
      <c r="L66" s="56"/>
      <c r="M66" s="56">
        <v>21227131895</v>
      </c>
      <c r="N66" s="56"/>
      <c r="O66" s="56">
        <v>21249519870</v>
      </c>
      <c r="P66" s="56"/>
      <c r="Q66" s="56">
        <f t="shared" si="1"/>
        <v>-22387975</v>
      </c>
      <c r="R66" s="56"/>
    </row>
    <row r="67" spans="1:18" ht="21.75" customHeight="1">
      <c r="A67" s="6" t="s">
        <v>110</v>
      </c>
      <c r="C67" s="56">
        <v>0</v>
      </c>
      <c r="D67" s="56"/>
      <c r="E67" s="56">
        <v>0</v>
      </c>
      <c r="F67" s="56"/>
      <c r="G67" s="56">
        <v>0</v>
      </c>
      <c r="H67" s="56"/>
      <c r="I67" s="56">
        <f t="shared" si="0"/>
        <v>0</v>
      </c>
      <c r="J67" s="56"/>
      <c r="K67" s="56">
        <v>1735355</v>
      </c>
      <c r="L67" s="56"/>
      <c r="M67" s="56">
        <v>10557181443</v>
      </c>
      <c r="N67" s="56"/>
      <c r="O67" s="56">
        <v>9584899606</v>
      </c>
      <c r="P67" s="56"/>
      <c r="Q67" s="56">
        <f t="shared" si="1"/>
        <v>972281837</v>
      </c>
      <c r="R67" s="56"/>
    </row>
    <row r="68" spans="1:18" ht="21.75" customHeight="1">
      <c r="A68" s="6" t="s">
        <v>111</v>
      </c>
      <c r="C68" s="56">
        <v>0</v>
      </c>
      <c r="D68" s="56"/>
      <c r="E68" s="56">
        <v>0</v>
      </c>
      <c r="F68" s="56"/>
      <c r="G68" s="56">
        <v>0</v>
      </c>
      <c r="H68" s="56"/>
      <c r="I68" s="56">
        <f t="shared" si="0"/>
        <v>0</v>
      </c>
      <c r="J68" s="56"/>
      <c r="K68" s="56">
        <v>800000</v>
      </c>
      <c r="L68" s="56"/>
      <c r="M68" s="56">
        <v>12286458106</v>
      </c>
      <c r="N68" s="56"/>
      <c r="O68" s="56">
        <v>10606531306</v>
      </c>
      <c r="P68" s="56"/>
      <c r="Q68" s="56">
        <f t="shared" si="1"/>
        <v>1679926800</v>
      </c>
      <c r="R68" s="56"/>
    </row>
    <row r="69" spans="1:18" ht="21.75" customHeight="1">
      <c r="A69" s="6" t="s">
        <v>29</v>
      </c>
      <c r="C69" s="56">
        <v>0</v>
      </c>
      <c r="D69" s="56"/>
      <c r="E69" s="56">
        <v>0</v>
      </c>
      <c r="F69" s="56"/>
      <c r="G69" s="56">
        <v>0</v>
      </c>
      <c r="H69" s="56"/>
      <c r="I69" s="56">
        <f t="shared" si="0"/>
        <v>0</v>
      </c>
      <c r="J69" s="56"/>
      <c r="K69" s="56">
        <v>12729085</v>
      </c>
      <c r="L69" s="56"/>
      <c r="M69" s="56">
        <v>56717640931</v>
      </c>
      <c r="N69" s="56"/>
      <c r="O69" s="56">
        <v>82490145444</v>
      </c>
      <c r="P69" s="56"/>
      <c r="Q69" s="56">
        <f t="shared" si="1"/>
        <v>-25772504513</v>
      </c>
      <c r="R69" s="56"/>
    </row>
    <row r="70" spans="1:18">
      <c r="A70" s="6" t="s">
        <v>112</v>
      </c>
      <c r="C70" s="56">
        <v>0</v>
      </c>
      <c r="D70" s="56"/>
      <c r="E70" s="56">
        <v>0</v>
      </c>
      <c r="F70" s="56"/>
      <c r="G70" s="56">
        <v>0</v>
      </c>
      <c r="H70" s="56"/>
      <c r="I70" s="56">
        <f t="shared" si="0"/>
        <v>0</v>
      </c>
      <c r="J70" s="56"/>
      <c r="K70" s="56">
        <v>41994168</v>
      </c>
      <c r="L70" s="56"/>
      <c r="M70" s="56">
        <v>34019362395</v>
      </c>
      <c r="N70" s="56"/>
      <c r="O70" s="56">
        <v>52477683937</v>
      </c>
      <c r="P70" s="56"/>
      <c r="Q70" s="56">
        <f t="shared" si="1"/>
        <v>-18458321542</v>
      </c>
      <c r="R70" s="56"/>
    </row>
    <row r="71" spans="1:18">
      <c r="A71" s="6" t="s">
        <v>68</v>
      </c>
      <c r="B71"/>
      <c r="C71" s="56">
        <v>51700</v>
      </c>
      <c r="D71" s="56"/>
      <c r="E71" s="56">
        <v>51671888125</v>
      </c>
      <c r="F71" s="56"/>
      <c r="G71" s="56">
        <v>51698084239</v>
      </c>
      <c r="H71" s="56"/>
      <c r="I71" s="56">
        <f t="shared" si="0"/>
        <v>-26196114</v>
      </c>
      <c r="J71" s="56"/>
      <c r="K71" s="56">
        <v>202400</v>
      </c>
      <c r="L71" s="56"/>
      <c r="M71" s="56">
        <v>202289945000</v>
      </c>
      <c r="N71" s="56"/>
      <c r="O71" s="56">
        <v>202392500000</v>
      </c>
      <c r="P71" s="56"/>
      <c r="Q71" s="56">
        <f t="shared" si="1"/>
        <v>-102555000</v>
      </c>
      <c r="R71" s="56"/>
    </row>
    <row r="72" spans="1:18">
      <c r="A72" s="6" t="s">
        <v>72</v>
      </c>
      <c r="B72"/>
      <c r="C72" s="56">
        <v>0</v>
      </c>
      <c r="D72" s="56"/>
      <c r="E72" s="56">
        <v>0</v>
      </c>
      <c r="F72" s="56"/>
      <c r="G72" s="56">
        <v>0</v>
      </c>
      <c r="H72" s="56"/>
      <c r="I72" s="56">
        <f t="shared" si="0"/>
        <v>0</v>
      </c>
      <c r="J72" s="56"/>
      <c r="K72" s="56">
        <v>51190</v>
      </c>
      <c r="L72" s="56"/>
      <c r="M72" s="56">
        <v>28992795612</v>
      </c>
      <c r="N72" s="56"/>
      <c r="O72" s="56">
        <v>28982239437</v>
      </c>
      <c r="P72" s="56"/>
      <c r="Q72" s="56">
        <f t="shared" si="1"/>
        <v>10556175</v>
      </c>
      <c r="R72" s="56"/>
    </row>
    <row r="73" spans="1:18" ht="19.5" thickBot="1">
      <c r="C73" s="58">
        <f>SUM(C8:C72)</f>
        <v>31112140</v>
      </c>
      <c r="D73" s="89"/>
      <c r="E73" s="58">
        <f>SUM(E8:E72)</f>
        <v>492628581102</v>
      </c>
      <c r="F73" s="89"/>
      <c r="G73" s="58">
        <f>SUM(G8:G72)</f>
        <v>382233053139</v>
      </c>
      <c r="H73" s="89"/>
      <c r="I73" s="58">
        <f>SUM(I8:I72)</f>
        <v>110395527963</v>
      </c>
      <c r="J73" s="89"/>
      <c r="K73" s="58">
        <f>SUM(K8:K72)</f>
        <v>2329406419</v>
      </c>
      <c r="L73" s="89"/>
      <c r="M73" s="58">
        <f>SUM(M8:M72)</f>
        <v>4089850261232</v>
      </c>
      <c r="N73" s="89"/>
      <c r="O73" s="58">
        <f>SUM(O8:O72)</f>
        <v>4282324198137</v>
      </c>
      <c r="P73" s="89"/>
      <c r="Q73" s="58">
        <f>SUM(Q8:Q72)</f>
        <v>-192473936905</v>
      </c>
    </row>
    <row r="74" spans="1:18" ht="19.5" thickTop="1"/>
    <row r="75" spans="1:18">
      <c r="I75" s="75"/>
      <c r="Q75" s="75"/>
    </row>
    <row r="76" spans="1:18">
      <c r="I76" s="25"/>
      <c r="Q76" s="75"/>
    </row>
    <row r="77" spans="1:18">
      <c r="Q77" s="75"/>
    </row>
    <row r="78" spans="1:18">
      <c r="Q78" s="75"/>
    </row>
    <row r="82" spans="7:7">
      <c r="G82" s="25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370078740157483" right="0.39370078740157483" top="0.39370078740157483" bottom="0.39370078740157483" header="0" footer="0"/>
  <pageSetup scale="36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  <pageSetUpPr fitToPage="1"/>
  </sheetPr>
  <dimension ref="A1:L69"/>
  <sheetViews>
    <sheetView rightToLeft="1" view="pageBreakPreview" zoomScale="96" zoomScaleNormal="100" zoomScaleSheetLayoutView="96" workbookViewId="0">
      <selection activeCell="T56" sqref="T56"/>
    </sheetView>
  </sheetViews>
  <sheetFormatPr defaultRowHeight="12.75"/>
  <cols>
    <col min="1" max="1" width="44" bestFit="1" customWidth="1"/>
    <col min="2" max="2" width="11" bestFit="1" customWidth="1"/>
    <col min="3" max="3" width="1.28515625" customWidth="1"/>
    <col min="4" max="4" width="14.28515625" bestFit="1" customWidth="1"/>
    <col min="5" max="5" width="1.28515625" customWidth="1"/>
    <col min="6" max="6" width="11.42578125" bestFit="1" customWidth="1"/>
    <col min="7" max="7" width="1.28515625" customWidth="1"/>
    <col min="8" max="8" width="11.42578125" bestFit="1" customWidth="1"/>
    <col min="9" max="9" width="1.28515625" customWidth="1"/>
    <col min="10" max="10" width="15.7109375" bestFit="1" customWidth="1"/>
    <col min="11" max="11" width="1.28515625" customWidth="1"/>
    <col min="12" max="12" width="16.85546875" bestFit="1" customWidth="1"/>
    <col min="13" max="13" width="0.28515625" customWidth="1"/>
  </cols>
  <sheetData>
    <row r="1" spans="1:12" ht="29.1" customHeight="1">
      <c r="A1" s="95" t="str">
        <f>سهام!A1</f>
        <v>صندوق سرمایه گذاری افق دماوند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</row>
    <row r="2" spans="1:12" ht="21.75" customHeight="1">
      <c r="A2" s="95" t="s">
        <v>77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1:12" ht="21.75" customHeight="1">
      <c r="A3" s="95" t="str">
        <f>سهام!A3</f>
        <v>برای ماه منتهی به 1404/10/30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</row>
    <row r="4" spans="1:12" ht="7.35" customHeight="1"/>
    <row r="5" spans="1:12" ht="14.45" customHeight="1">
      <c r="A5" s="30" t="s">
        <v>182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</row>
    <row r="6" spans="1:12" ht="7.35" customHeight="1"/>
    <row r="7" spans="1:12" ht="14.45" customHeight="1">
      <c r="B7" s="97" t="s">
        <v>92</v>
      </c>
      <c r="C7" s="97"/>
      <c r="D7" s="97"/>
      <c r="E7" s="97"/>
      <c r="F7" s="97"/>
      <c r="G7" s="97"/>
      <c r="H7" s="97"/>
      <c r="I7" s="97"/>
      <c r="J7" s="97"/>
      <c r="L7" s="2" t="s">
        <v>93</v>
      </c>
    </row>
    <row r="8" spans="1:12" ht="29.1" customHeight="1">
      <c r="A8" s="2" t="s">
        <v>183</v>
      </c>
      <c r="B8" s="8" t="s">
        <v>51</v>
      </c>
      <c r="C8" s="3"/>
      <c r="D8" s="8" t="s">
        <v>8</v>
      </c>
      <c r="E8" s="3"/>
      <c r="F8" s="8" t="s">
        <v>184</v>
      </c>
      <c r="G8" s="3"/>
      <c r="H8" s="8" t="s">
        <v>185</v>
      </c>
      <c r="I8" s="3"/>
      <c r="J8" s="8" t="s">
        <v>186</v>
      </c>
      <c r="L8" s="8" t="s">
        <v>186</v>
      </c>
    </row>
    <row r="9" spans="1:12" ht="18.75">
      <c r="A9" s="29" t="s">
        <v>14</v>
      </c>
      <c r="B9" s="26" t="s">
        <v>58</v>
      </c>
      <c r="C9" s="26"/>
      <c r="D9" s="26">
        <v>0</v>
      </c>
      <c r="E9" s="26">
        <v>0</v>
      </c>
      <c r="F9" s="26">
        <v>0</v>
      </c>
      <c r="G9" s="26">
        <v>0</v>
      </c>
      <c r="H9" s="26">
        <v>0</v>
      </c>
      <c r="I9">
        <v>0</v>
      </c>
      <c r="J9" s="26">
        <v>0</v>
      </c>
      <c r="K9" s="26"/>
      <c r="L9" s="26">
        <v>26681292000</v>
      </c>
    </row>
    <row r="10" spans="1:12" ht="21.75" customHeight="1">
      <c r="A10" s="29" t="s">
        <v>15</v>
      </c>
      <c r="B10" s="26" t="s">
        <v>58</v>
      </c>
      <c r="C10" s="26"/>
      <c r="D10" s="26">
        <v>0</v>
      </c>
      <c r="E10" s="26">
        <v>0</v>
      </c>
      <c r="F10" s="26">
        <v>0</v>
      </c>
      <c r="G10" s="26">
        <v>0</v>
      </c>
      <c r="H10" s="26">
        <v>0</v>
      </c>
      <c r="I10">
        <v>0</v>
      </c>
      <c r="J10" s="26">
        <v>0</v>
      </c>
      <c r="K10" s="26"/>
      <c r="L10" s="26">
        <v>8033896220</v>
      </c>
    </row>
    <row r="11" spans="1:12" ht="21.75" customHeight="1">
      <c r="A11" s="29" t="s">
        <v>57</v>
      </c>
      <c r="B11" s="26" t="s">
        <v>58</v>
      </c>
      <c r="C11" s="26"/>
      <c r="D11" s="26">
        <v>0</v>
      </c>
      <c r="E11" s="26">
        <v>0</v>
      </c>
      <c r="F11" s="26">
        <v>0</v>
      </c>
      <c r="G11" s="26">
        <v>0</v>
      </c>
      <c r="H11" s="26">
        <v>0</v>
      </c>
      <c r="I11">
        <v>0</v>
      </c>
      <c r="J11" s="26">
        <v>0</v>
      </c>
      <c r="K11" s="26"/>
      <c r="L11" s="26">
        <v>-3029459071</v>
      </c>
    </row>
    <row r="12" spans="1:12" ht="21.75" customHeight="1">
      <c r="A12" s="29" t="s">
        <v>54</v>
      </c>
      <c r="B12" s="26" t="s">
        <v>55</v>
      </c>
      <c r="C12" s="26"/>
      <c r="D12" s="26">
        <v>0</v>
      </c>
      <c r="E12" s="26">
        <v>0</v>
      </c>
      <c r="F12" s="26">
        <v>0</v>
      </c>
      <c r="G12" s="26">
        <v>0</v>
      </c>
      <c r="H12" s="26">
        <v>0</v>
      </c>
      <c r="I12">
        <v>0</v>
      </c>
      <c r="J12" s="26">
        <v>0</v>
      </c>
      <c r="K12" s="26"/>
      <c r="L12" s="26">
        <v>-1248658548</v>
      </c>
    </row>
    <row r="13" spans="1:12" ht="21.75" customHeight="1">
      <c r="A13" s="29" t="s">
        <v>56</v>
      </c>
      <c r="B13" s="26" t="s">
        <v>55</v>
      </c>
      <c r="C13" s="26"/>
      <c r="D13" s="26">
        <v>0</v>
      </c>
      <c r="E13" s="26">
        <v>0</v>
      </c>
      <c r="F13" s="26">
        <v>0</v>
      </c>
      <c r="G13" s="26">
        <v>0</v>
      </c>
      <c r="H13" s="26">
        <v>0</v>
      </c>
      <c r="I13">
        <v>0</v>
      </c>
      <c r="J13" s="26">
        <v>0</v>
      </c>
      <c r="K13" s="26"/>
      <c r="L13" s="26">
        <v>-1937672849</v>
      </c>
    </row>
    <row r="14" spans="1:12" ht="21.75" customHeight="1">
      <c r="A14" s="29" t="s">
        <v>16</v>
      </c>
      <c r="B14" s="26" t="s">
        <v>60</v>
      </c>
      <c r="C14" s="26"/>
      <c r="D14" s="26">
        <v>0</v>
      </c>
      <c r="E14" s="26">
        <v>0</v>
      </c>
      <c r="F14" s="26">
        <v>0</v>
      </c>
      <c r="G14" s="26">
        <v>0</v>
      </c>
      <c r="H14" s="26">
        <v>0</v>
      </c>
      <c r="I14">
        <v>0</v>
      </c>
      <c r="J14" s="26">
        <v>0</v>
      </c>
      <c r="K14" s="26"/>
      <c r="L14" s="26">
        <v>739629290</v>
      </c>
    </row>
    <row r="15" spans="1:12" ht="21.75" customHeight="1">
      <c r="A15" s="29" t="s">
        <v>59</v>
      </c>
      <c r="B15" s="26" t="s">
        <v>60</v>
      </c>
      <c r="C15" s="26"/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>
        <v>0</v>
      </c>
      <c r="J15" s="26">
        <v>0</v>
      </c>
      <c r="K15" s="26"/>
      <c r="L15" s="26">
        <v>120105126</v>
      </c>
    </row>
    <row r="16" spans="1:12" ht="21.75" customHeight="1">
      <c r="A16" s="29" t="s">
        <v>221</v>
      </c>
      <c r="B16" s="26" t="s">
        <v>241</v>
      </c>
      <c r="C16" s="26"/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>
        <v>0</v>
      </c>
      <c r="J16" s="26">
        <v>0</v>
      </c>
      <c r="K16" s="26"/>
      <c r="L16" s="26">
        <v>6591023021</v>
      </c>
    </row>
    <row r="17" spans="1:12" ht="21.75" customHeight="1">
      <c r="A17" s="29" t="s">
        <v>199</v>
      </c>
      <c r="B17" s="26" t="s">
        <v>229</v>
      </c>
      <c r="C17" s="26"/>
      <c r="D17" s="26">
        <v>0</v>
      </c>
      <c r="E17">
        <v>0</v>
      </c>
      <c r="F17" s="26">
        <v>0</v>
      </c>
      <c r="G17" s="26">
        <v>0</v>
      </c>
      <c r="H17" s="26">
        <v>0</v>
      </c>
      <c r="I17">
        <v>0</v>
      </c>
      <c r="J17" s="26">
        <v>0</v>
      </c>
      <c r="K17" s="26"/>
      <c r="L17" s="26">
        <v>-74644702</v>
      </c>
    </row>
    <row r="18" spans="1:12" ht="21.75" customHeight="1">
      <c r="A18" s="29" t="s">
        <v>200</v>
      </c>
      <c r="B18" s="26" t="s">
        <v>230</v>
      </c>
      <c r="C18" s="26"/>
      <c r="D18" s="26">
        <v>0</v>
      </c>
      <c r="E18">
        <v>0</v>
      </c>
      <c r="F18" s="26">
        <v>0</v>
      </c>
      <c r="G18" s="26">
        <v>0</v>
      </c>
      <c r="H18" s="26">
        <v>0</v>
      </c>
      <c r="I18">
        <v>0</v>
      </c>
      <c r="J18" s="26">
        <v>0</v>
      </c>
      <c r="K18" s="26"/>
      <c r="L18" s="26">
        <v>-78966135958</v>
      </c>
    </row>
    <row r="19" spans="1:12" ht="21.75" customHeight="1">
      <c r="A19" s="29" t="s">
        <v>201</v>
      </c>
      <c r="B19" s="26" t="s">
        <v>230</v>
      </c>
      <c r="C19" s="26"/>
      <c r="D19" s="26">
        <v>0</v>
      </c>
      <c r="E19">
        <v>0</v>
      </c>
      <c r="F19" s="26">
        <v>0</v>
      </c>
      <c r="G19" s="26">
        <v>0</v>
      </c>
      <c r="H19" s="26">
        <v>0</v>
      </c>
      <c r="I19">
        <v>0</v>
      </c>
      <c r="J19" s="26">
        <v>0</v>
      </c>
      <c r="K19" s="26"/>
      <c r="L19" s="26">
        <v>-5175874496</v>
      </c>
    </row>
    <row r="20" spans="1:12" ht="21.75" customHeight="1">
      <c r="A20" s="29" t="s">
        <v>123</v>
      </c>
      <c r="B20" s="26" t="s">
        <v>231</v>
      </c>
      <c r="C20" s="26"/>
      <c r="D20" s="26">
        <v>0</v>
      </c>
      <c r="E20">
        <v>0</v>
      </c>
      <c r="F20" s="26">
        <v>0</v>
      </c>
      <c r="G20" s="26">
        <v>0</v>
      </c>
      <c r="H20" s="26">
        <v>0</v>
      </c>
      <c r="I20">
        <v>0</v>
      </c>
      <c r="J20" s="26">
        <v>0</v>
      </c>
      <c r="K20" s="26"/>
      <c r="L20" s="26">
        <v>1100694816</v>
      </c>
    </row>
    <row r="21" spans="1:12" ht="21.75" customHeight="1">
      <c r="A21" s="29" t="s">
        <v>202</v>
      </c>
      <c r="B21" s="26" t="s">
        <v>229</v>
      </c>
      <c r="C21" s="26"/>
      <c r="D21" s="26">
        <v>0</v>
      </c>
      <c r="E21">
        <v>0</v>
      </c>
      <c r="F21" s="26">
        <v>0</v>
      </c>
      <c r="G21" s="26">
        <v>0</v>
      </c>
      <c r="H21" s="26">
        <v>0</v>
      </c>
      <c r="I21">
        <v>0</v>
      </c>
      <c r="J21" s="26">
        <v>0</v>
      </c>
      <c r="K21" s="26"/>
      <c r="L21" s="26">
        <v>18084538513</v>
      </c>
    </row>
    <row r="22" spans="1:12" ht="21.75" customHeight="1">
      <c r="A22" s="29" t="s">
        <v>129</v>
      </c>
      <c r="B22" s="26" t="s">
        <v>232</v>
      </c>
      <c r="C22" s="26"/>
      <c r="D22" s="26">
        <v>0</v>
      </c>
      <c r="E22">
        <v>0</v>
      </c>
      <c r="F22" s="26">
        <v>0</v>
      </c>
      <c r="G22" s="26">
        <v>0</v>
      </c>
      <c r="H22" s="26">
        <v>0</v>
      </c>
      <c r="I22">
        <v>0</v>
      </c>
      <c r="J22" s="26">
        <v>0</v>
      </c>
      <c r="K22" s="26"/>
      <c r="L22" s="26">
        <v>-434820619</v>
      </c>
    </row>
    <row r="23" spans="1:12" ht="21.75" customHeight="1">
      <c r="A23" s="29" t="s">
        <v>203</v>
      </c>
      <c r="B23" s="26" t="s">
        <v>231</v>
      </c>
      <c r="C23" s="26"/>
      <c r="D23" s="26">
        <v>0</v>
      </c>
      <c r="E23">
        <v>0</v>
      </c>
      <c r="F23" s="26">
        <v>0</v>
      </c>
      <c r="G23" s="26">
        <v>0</v>
      </c>
      <c r="H23" s="26">
        <v>0</v>
      </c>
      <c r="I23">
        <v>0</v>
      </c>
      <c r="J23" s="26">
        <v>0</v>
      </c>
      <c r="K23" s="26"/>
      <c r="L23" s="26">
        <v>51768353810</v>
      </c>
    </row>
    <row r="24" spans="1:12" ht="21.75" customHeight="1">
      <c r="A24" s="29" t="s">
        <v>204</v>
      </c>
      <c r="B24" s="26" t="s">
        <v>231</v>
      </c>
      <c r="C24" s="26"/>
      <c r="D24" s="26">
        <v>0</v>
      </c>
      <c r="E24">
        <v>0</v>
      </c>
      <c r="F24" s="26">
        <v>0</v>
      </c>
      <c r="G24" s="26">
        <v>0</v>
      </c>
      <c r="H24" s="26">
        <v>0</v>
      </c>
      <c r="I24">
        <v>0</v>
      </c>
      <c r="J24" s="26">
        <v>0</v>
      </c>
      <c r="K24" s="26"/>
      <c r="L24" s="26">
        <v>2845967378</v>
      </c>
    </row>
    <row r="25" spans="1:12" ht="21.75" customHeight="1">
      <c r="A25" s="29" t="s">
        <v>205</v>
      </c>
      <c r="B25" s="26" t="s">
        <v>233</v>
      </c>
      <c r="C25" s="26"/>
      <c r="D25" s="26">
        <v>0</v>
      </c>
      <c r="E25">
        <v>0</v>
      </c>
      <c r="F25" s="26">
        <v>0</v>
      </c>
      <c r="G25" s="26">
        <v>0</v>
      </c>
      <c r="H25" s="26">
        <v>0</v>
      </c>
      <c r="I25">
        <v>0</v>
      </c>
      <c r="J25" s="26">
        <v>0</v>
      </c>
      <c r="K25" s="26"/>
      <c r="L25" s="26">
        <v>-79077</v>
      </c>
    </row>
    <row r="26" spans="1:12" ht="21.75" customHeight="1">
      <c r="A26" s="29" t="s">
        <v>206</v>
      </c>
      <c r="B26" s="26" t="s">
        <v>234</v>
      </c>
      <c r="C26" s="26"/>
      <c r="D26" s="26">
        <v>0</v>
      </c>
      <c r="E26">
        <v>0</v>
      </c>
      <c r="F26" s="26">
        <v>0</v>
      </c>
      <c r="G26" s="26">
        <v>0</v>
      </c>
      <c r="H26" s="26">
        <v>0</v>
      </c>
      <c r="I26">
        <v>0</v>
      </c>
      <c r="J26" s="26">
        <v>0</v>
      </c>
      <c r="K26" s="26"/>
      <c r="L26" s="26">
        <v>10041497421</v>
      </c>
    </row>
    <row r="27" spans="1:12" ht="21.75" customHeight="1">
      <c r="A27" s="29" t="s">
        <v>207</v>
      </c>
      <c r="B27" s="26" t="s">
        <v>235</v>
      </c>
      <c r="C27" s="26"/>
      <c r="D27" s="26">
        <v>0</v>
      </c>
      <c r="E27">
        <v>0</v>
      </c>
      <c r="F27" s="26">
        <v>0</v>
      </c>
      <c r="G27" s="26">
        <v>0</v>
      </c>
      <c r="H27" s="26">
        <v>0</v>
      </c>
      <c r="I27">
        <v>0</v>
      </c>
      <c r="J27" s="26">
        <v>0</v>
      </c>
      <c r="K27" s="26"/>
      <c r="L27" s="26">
        <v>18072244036</v>
      </c>
    </row>
    <row r="28" spans="1:12" ht="21.75" customHeight="1">
      <c r="A28" s="29" t="s">
        <v>208</v>
      </c>
      <c r="B28" s="26" t="s">
        <v>236</v>
      </c>
      <c r="C28" s="26"/>
      <c r="D28" s="26">
        <v>0</v>
      </c>
      <c r="E28">
        <v>0</v>
      </c>
      <c r="F28" s="26">
        <v>0</v>
      </c>
      <c r="G28" s="26">
        <v>0</v>
      </c>
      <c r="H28" s="26">
        <v>0</v>
      </c>
      <c r="I28">
        <v>0</v>
      </c>
      <c r="J28" s="26">
        <v>0</v>
      </c>
      <c r="K28" s="26"/>
      <c r="L28" s="26">
        <v>8996148</v>
      </c>
    </row>
    <row r="29" spans="1:12" ht="21.75" customHeight="1">
      <c r="A29" s="29" t="s">
        <v>209</v>
      </c>
      <c r="B29" s="26" t="s">
        <v>234</v>
      </c>
      <c r="C29" s="26"/>
      <c r="D29" s="26">
        <v>0</v>
      </c>
      <c r="E29">
        <v>0</v>
      </c>
      <c r="F29" s="26">
        <v>0</v>
      </c>
      <c r="G29" s="26">
        <v>0</v>
      </c>
      <c r="H29" s="26">
        <v>0</v>
      </c>
      <c r="I29">
        <v>0</v>
      </c>
      <c r="J29" s="26">
        <v>0</v>
      </c>
      <c r="K29" s="26"/>
      <c r="L29" s="26">
        <v>569880595</v>
      </c>
    </row>
    <row r="30" spans="1:12" ht="21.75" customHeight="1">
      <c r="A30" s="29" t="s">
        <v>210</v>
      </c>
      <c r="B30" s="26" t="s">
        <v>235</v>
      </c>
      <c r="C30" s="26"/>
      <c r="D30" s="26">
        <v>0</v>
      </c>
      <c r="E30">
        <v>0</v>
      </c>
      <c r="F30" s="26">
        <v>0</v>
      </c>
      <c r="G30" s="26">
        <v>0</v>
      </c>
      <c r="H30" s="26">
        <v>0</v>
      </c>
      <c r="I30">
        <v>0</v>
      </c>
      <c r="J30" s="26">
        <v>0</v>
      </c>
      <c r="K30" s="26"/>
      <c r="L30" s="26">
        <v>16340590247</v>
      </c>
    </row>
    <row r="31" spans="1:12" ht="21.75" customHeight="1">
      <c r="A31" s="29" t="s">
        <v>211</v>
      </c>
      <c r="B31" s="26" t="s">
        <v>153</v>
      </c>
      <c r="C31" s="26"/>
      <c r="D31" s="26">
        <v>0</v>
      </c>
      <c r="E31">
        <v>0</v>
      </c>
      <c r="F31" s="26">
        <v>0</v>
      </c>
      <c r="G31" s="26">
        <v>0</v>
      </c>
      <c r="H31" s="26">
        <v>0</v>
      </c>
      <c r="I31">
        <v>0</v>
      </c>
      <c r="J31" s="26">
        <v>0</v>
      </c>
      <c r="K31" s="26"/>
      <c r="L31" s="26">
        <v>638684427</v>
      </c>
    </row>
    <row r="32" spans="1:12" ht="21.75" customHeight="1">
      <c r="A32" s="29" t="s">
        <v>212</v>
      </c>
      <c r="B32" s="26" t="s">
        <v>153</v>
      </c>
      <c r="C32" s="26"/>
      <c r="D32" s="26">
        <v>0</v>
      </c>
      <c r="E32">
        <v>0</v>
      </c>
      <c r="F32" s="26">
        <v>0</v>
      </c>
      <c r="G32" s="26">
        <v>0</v>
      </c>
      <c r="H32" s="26">
        <v>0</v>
      </c>
      <c r="I32">
        <v>0</v>
      </c>
      <c r="J32" s="26">
        <v>0</v>
      </c>
      <c r="K32" s="26"/>
      <c r="L32" s="26">
        <v>65180344</v>
      </c>
    </row>
    <row r="33" spans="1:12" ht="21.75" customHeight="1">
      <c r="A33" s="29" t="s">
        <v>213</v>
      </c>
      <c r="B33" s="26" t="s">
        <v>237</v>
      </c>
      <c r="C33" s="26"/>
      <c r="D33" s="26">
        <v>0</v>
      </c>
      <c r="E33">
        <v>0</v>
      </c>
      <c r="F33" s="26">
        <v>0</v>
      </c>
      <c r="G33" s="26">
        <v>0</v>
      </c>
      <c r="H33" s="26">
        <v>0</v>
      </c>
      <c r="I33">
        <v>0</v>
      </c>
      <c r="J33" s="26">
        <v>0</v>
      </c>
      <c r="K33" s="26"/>
      <c r="L33" s="26">
        <v>2432450151</v>
      </c>
    </row>
    <row r="34" spans="1:12" ht="21.75" customHeight="1">
      <c r="A34" s="29" t="s">
        <v>214</v>
      </c>
      <c r="B34" s="26" t="s">
        <v>236</v>
      </c>
      <c r="C34" s="26"/>
      <c r="D34" s="26">
        <v>0</v>
      </c>
      <c r="E34">
        <v>0</v>
      </c>
      <c r="F34" s="26">
        <v>0</v>
      </c>
      <c r="G34" s="26">
        <v>0</v>
      </c>
      <c r="H34" s="26">
        <v>0</v>
      </c>
      <c r="I34">
        <v>0</v>
      </c>
      <c r="J34" s="26">
        <v>0</v>
      </c>
      <c r="K34" s="26"/>
      <c r="L34" s="26">
        <v>4653581121</v>
      </c>
    </row>
    <row r="35" spans="1:12" ht="21.75" customHeight="1">
      <c r="A35" s="29" t="s">
        <v>215</v>
      </c>
      <c r="B35" s="26" t="s">
        <v>238</v>
      </c>
      <c r="C35" s="26"/>
      <c r="D35" s="26">
        <v>0</v>
      </c>
      <c r="E35">
        <v>0</v>
      </c>
      <c r="F35" s="26">
        <v>0</v>
      </c>
      <c r="G35" s="26">
        <v>0</v>
      </c>
      <c r="H35" s="26">
        <v>0</v>
      </c>
      <c r="I35">
        <v>0</v>
      </c>
      <c r="J35" s="26">
        <v>0</v>
      </c>
      <c r="K35" s="26"/>
      <c r="L35" s="26">
        <v>8367372544</v>
      </c>
    </row>
    <row r="36" spans="1:12" ht="21.75" customHeight="1">
      <c r="A36" s="29" t="s">
        <v>216</v>
      </c>
      <c r="B36" s="26" t="s">
        <v>236</v>
      </c>
      <c r="C36" s="26"/>
      <c r="D36" s="26">
        <v>0</v>
      </c>
      <c r="E36">
        <v>0</v>
      </c>
      <c r="F36" s="26">
        <v>0</v>
      </c>
      <c r="G36" s="26">
        <v>0</v>
      </c>
      <c r="H36" s="26">
        <v>0</v>
      </c>
      <c r="I36">
        <v>0</v>
      </c>
      <c r="J36" s="26">
        <v>0</v>
      </c>
      <c r="K36" s="26"/>
      <c r="L36" s="26">
        <v>391285672</v>
      </c>
    </row>
    <row r="37" spans="1:12" ht="21.75" customHeight="1">
      <c r="A37" s="29" t="s">
        <v>217</v>
      </c>
      <c r="B37" s="26" t="s">
        <v>238</v>
      </c>
      <c r="C37" s="26"/>
      <c r="D37" s="26">
        <v>0</v>
      </c>
      <c r="E37">
        <v>0</v>
      </c>
      <c r="F37" s="26">
        <v>0</v>
      </c>
      <c r="G37" s="26">
        <v>0</v>
      </c>
      <c r="H37" s="26">
        <v>0</v>
      </c>
      <c r="I37">
        <v>0</v>
      </c>
      <c r="J37" s="26">
        <v>0</v>
      </c>
      <c r="K37" s="26"/>
      <c r="L37" s="26">
        <v>12941727333</v>
      </c>
    </row>
    <row r="38" spans="1:12" ht="21.75" customHeight="1">
      <c r="A38" s="29" t="s">
        <v>218</v>
      </c>
      <c r="B38" s="26" t="s">
        <v>239</v>
      </c>
      <c r="C38" s="26"/>
      <c r="D38" s="26">
        <v>0</v>
      </c>
      <c r="E38">
        <v>0</v>
      </c>
      <c r="F38" s="26">
        <v>0</v>
      </c>
      <c r="G38" s="26">
        <v>0</v>
      </c>
      <c r="H38" s="26">
        <v>0</v>
      </c>
      <c r="I38">
        <v>0</v>
      </c>
      <c r="J38" s="26">
        <v>0</v>
      </c>
      <c r="K38" s="26"/>
      <c r="L38" s="26">
        <v>8694525681</v>
      </c>
    </row>
    <row r="39" spans="1:12" ht="21.75" customHeight="1">
      <c r="A39" s="29" t="s">
        <v>219</v>
      </c>
      <c r="B39" s="26" t="s">
        <v>239</v>
      </c>
      <c r="C39" s="26"/>
      <c r="D39" s="26">
        <v>0</v>
      </c>
      <c r="E39">
        <v>0</v>
      </c>
      <c r="F39" s="26">
        <v>0</v>
      </c>
      <c r="G39" s="26">
        <v>0</v>
      </c>
      <c r="H39" s="26">
        <v>0</v>
      </c>
      <c r="I39">
        <v>0</v>
      </c>
      <c r="J39" s="26">
        <v>0</v>
      </c>
      <c r="K39" s="26"/>
      <c r="L39" s="26">
        <v>5648574079</v>
      </c>
    </row>
    <row r="40" spans="1:12" ht="21.75" customHeight="1">
      <c r="A40" s="29" t="s">
        <v>220</v>
      </c>
      <c r="B40" s="26" t="s">
        <v>240</v>
      </c>
      <c r="C40" s="26"/>
      <c r="D40" s="26">
        <v>0</v>
      </c>
      <c r="E40">
        <v>0</v>
      </c>
      <c r="F40" s="26">
        <v>0</v>
      </c>
      <c r="G40" s="26">
        <v>0</v>
      </c>
      <c r="H40" s="26">
        <v>0</v>
      </c>
      <c r="I40">
        <v>0</v>
      </c>
      <c r="J40" s="26">
        <v>0</v>
      </c>
      <c r="K40" s="26"/>
      <c r="L40" s="26">
        <v>-3291044166</v>
      </c>
    </row>
    <row r="41" spans="1:12" ht="21.75" customHeight="1">
      <c r="A41" s="29" t="s">
        <v>222</v>
      </c>
      <c r="B41" s="26" t="s">
        <v>235</v>
      </c>
      <c r="C41" s="26"/>
      <c r="D41" s="26">
        <v>0</v>
      </c>
      <c r="E41">
        <v>0</v>
      </c>
      <c r="F41" s="26">
        <v>0</v>
      </c>
      <c r="G41" s="26">
        <v>0</v>
      </c>
      <c r="H41" s="26">
        <v>0</v>
      </c>
      <c r="I41">
        <v>0</v>
      </c>
      <c r="J41" s="26">
        <v>0</v>
      </c>
      <c r="K41" s="26"/>
      <c r="L41" s="26">
        <v>23675174711</v>
      </c>
    </row>
    <row r="42" spans="1:12" ht="21.75" customHeight="1">
      <c r="A42" s="29" t="s">
        <v>223</v>
      </c>
      <c r="B42" s="26" t="s">
        <v>235</v>
      </c>
      <c r="C42" s="26"/>
      <c r="D42" s="26">
        <v>0</v>
      </c>
      <c r="E42">
        <v>0</v>
      </c>
      <c r="F42" s="26">
        <v>0</v>
      </c>
      <c r="G42" s="26">
        <v>0</v>
      </c>
      <c r="H42" s="26">
        <v>0</v>
      </c>
      <c r="I42">
        <v>0</v>
      </c>
      <c r="J42" s="26">
        <v>0</v>
      </c>
      <c r="K42" s="26"/>
      <c r="L42" s="26">
        <v>3569790982</v>
      </c>
    </row>
    <row r="43" spans="1:12" ht="21.75" customHeight="1">
      <c r="A43" s="29" t="s">
        <v>224</v>
      </c>
      <c r="B43" s="26" t="s">
        <v>235</v>
      </c>
      <c r="C43" s="26"/>
      <c r="D43" s="26">
        <v>0</v>
      </c>
      <c r="E43">
        <v>0</v>
      </c>
      <c r="F43" s="26">
        <v>0</v>
      </c>
      <c r="G43" s="26">
        <v>0</v>
      </c>
      <c r="H43" s="26">
        <v>0</v>
      </c>
      <c r="I43">
        <v>0</v>
      </c>
      <c r="J43" s="26">
        <v>0</v>
      </c>
      <c r="K43" s="26"/>
      <c r="L43" s="26">
        <v>2722447714</v>
      </c>
    </row>
    <row r="44" spans="1:12" ht="21.75" customHeight="1">
      <c r="A44" s="29" t="s">
        <v>225</v>
      </c>
      <c r="B44" s="26" t="s">
        <v>237</v>
      </c>
      <c r="C44" s="26"/>
      <c r="D44" s="26">
        <v>0</v>
      </c>
      <c r="E44">
        <v>0</v>
      </c>
      <c r="F44" s="26">
        <v>0</v>
      </c>
      <c r="G44" s="26">
        <v>0</v>
      </c>
      <c r="H44" s="26">
        <v>0</v>
      </c>
      <c r="I44">
        <v>0</v>
      </c>
      <c r="J44" s="26">
        <v>0</v>
      </c>
      <c r="K44" s="26"/>
      <c r="L44" s="26">
        <v>8187717453</v>
      </c>
    </row>
    <row r="45" spans="1:12" ht="21.75" customHeight="1">
      <c r="A45" s="29" t="s">
        <v>242</v>
      </c>
      <c r="B45" s="26" t="s">
        <v>153</v>
      </c>
      <c r="C45" s="26"/>
      <c r="D45" s="26">
        <v>0</v>
      </c>
      <c r="E45">
        <v>0</v>
      </c>
      <c r="F45" s="26">
        <v>0</v>
      </c>
      <c r="G45" s="26">
        <v>0</v>
      </c>
      <c r="H45" s="26">
        <v>0</v>
      </c>
      <c r="I45">
        <v>0</v>
      </c>
      <c r="J45" s="26">
        <v>0</v>
      </c>
      <c r="K45" s="26"/>
      <c r="L45" s="26">
        <v>1879149631</v>
      </c>
    </row>
    <row r="46" spans="1:12" ht="21.75" customHeight="1">
      <c r="A46" s="29" t="s">
        <v>226</v>
      </c>
      <c r="B46" s="26" t="s">
        <v>237</v>
      </c>
      <c r="C46" s="26"/>
      <c r="D46" s="26">
        <v>0</v>
      </c>
      <c r="E46">
        <v>0</v>
      </c>
      <c r="F46" s="26">
        <v>0</v>
      </c>
      <c r="G46" s="26">
        <v>0</v>
      </c>
      <c r="H46" s="26">
        <v>0</v>
      </c>
      <c r="I46">
        <v>0</v>
      </c>
      <c r="J46" s="26">
        <v>0</v>
      </c>
      <c r="K46" s="26"/>
      <c r="L46" s="26">
        <v>2299163039</v>
      </c>
    </row>
    <row r="47" spans="1:12" ht="21.75" customHeight="1">
      <c r="A47" s="29" t="s">
        <v>227</v>
      </c>
      <c r="B47" s="26" t="s">
        <v>231</v>
      </c>
      <c r="C47" s="26"/>
      <c r="D47" s="26">
        <v>0</v>
      </c>
      <c r="E47">
        <v>0</v>
      </c>
      <c r="F47" s="26">
        <v>0</v>
      </c>
      <c r="G47" s="26">
        <v>0</v>
      </c>
      <c r="H47" s="26">
        <v>0</v>
      </c>
      <c r="I47">
        <v>0</v>
      </c>
      <c r="J47" s="26">
        <v>0</v>
      </c>
      <c r="K47" s="26"/>
      <c r="L47" s="26">
        <v>32287450</v>
      </c>
    </row>
    <row r="48" spans="1:12" ht="21.75" customHeight="1">
      <c r="A48" s="29" t="s">
        <v>228</v>
      </c>
      <c r="B48" s="26" t="s">
        <v>231</v>
      </c>
      <c r="C48" s="26"/>
      <c r="D48" s="26">
        <v>0</v>
      </c>
      <c r="E48">
        <v>0</v>
      </c>
      <c r="F48" s="26">
        <v>0</v>
      </c>
      <c r="G48" s="26">
        <v>0</v>
      </c>
      <c r="H48" s="26">
        <v>0</v>
      </c>
      <c r="I48">
        <v>0</v>
      </c>
      <c r="J48" s="26">
        <v>0</v>
      </c>
      <c r="K48" s="26"/>
      <c r="L48" s="26">
        <v>-28932474</v>
      </c>
    </row>
    <row r="49" spans="1:12" ht="21.75" customHeight="1">
      <c r="A49" s="29" t="s">
        <v>243</v>
      </c>
      <c r="B49" s="26" t="s">
        <v>232</v>
      </c>
      <c r="C49" s="26"/>
      <c r="D49" s="26">
        <v>0</v>
      </c>
      <c r="E49">
        <v>0</v>
      </c>
      <c r="F49" s="26">
        <v>0</v>
      </c>
      <c r="G49" s="26">
        <v>0</v>
      </c>
      <c r="H49" s="26">
        <v>0</v>
      </c>
      <c r="I49">
        <v>0</v>
      </c>
      <c r="J49" s="26">
        <v>0</v>
      </c>
      <c r="K49" s="26"/>
      <c r="L49" s="26">
        <v>-404194323</v>
      </c>
    </row>
    <row r="50" spans="1:12" ht="21.75" customHeight="1" thickBot="1">
      <c r="D50" s="54">
        <f>SUM(D9:D49)</f>
        <v>0</v>
      </c>
      <c r="F50" s="54">
        <f>SUM(F9:F49)</f>
        <v>0</v>
      </c>
      <c r="H50" s="54">
        <f>SUM(H9:H49)</f>
        <v>0</v>
      </c>
      <c r="J50" s="54">
        <f>SUM(J9:J49)</f>
        <v>0</v>
      </c>
      <c r="L50" s="54">
        <f>SUM(L9:L49)</f>
        <v>152606304670</v>
      </c>
    </row>
    <row r="51" spans="1:12" ht="21.75" customHeight="1" thickTop="1"/>
    <row r="52" spans="1:12" ht="21.75" customHeight="1"/>
    <row r="53" spans="1:12" ht="21.75" customHeight="1"/>
    <row r="54" spans="1:12" ht="21.75" customHeight="1"/>
    <row r="55" spans="1:12" ht="21.75" customHeight="1"/>
    <row r="56" spans="1:12" ht="21.75" customHeight="1"/>
    <row r="57" spans="1:12" ht="21.75" customHeight="1"/>
    <row r="58" spans="1:12" ht="21.75" customHeight="1"/>
    <row r="59" spans="1:12" ht="21.75" customHeight="1"/>
    <row r="60" spans="1:12" ht="21.75" customHeight="1"/>
    <row r="61" spans="1:12" ht="21.75" customHeight="1"/>
    <row r="62" spans="1:12" ht="21.75" customHeight="1"/>
    <row r="63" spans="1:12" ht="21.75" customHeight="1"/>
    <row r="64" spans="1:12" ht="21.75" customHeight="1"/>
    <row r="65" ht="21.75" customHeight="1"/>
    <row r="66" ht="21.75" customHeight="1"/>
    <row r="67" ht="21.75" customHeight="1"/>
    <row r="68" ht="21.75" customHeight="1"/>
    <row r="69" ht="21.75" customHeight="1"/>
  </sheetData>
  <mergeCells count="4">
    <mergeCell ref="B7:J7"/>
    <mergeCell ref="A1:L1"/>
    <mergeCell ref="A2:L2"/>
    <mergeCell ref="A3:L3"/>
  </mergeCells>
  <conditionalFormatting sqref="A1:A1048576">
    <cfRule type="duplicateValues" dxfId="5" priority="6"/>
  </conditionalFormatting>
  <conditionalFormatting sqref="D50">
    <cfRule type="duplicateValues" dxfId="4" priority="1"/>
  </conditionalFormatting>
  <conditionalFormatting sqref="F50">
    <cfRule type="duplicateValues" dxfId="3" priority="2"/>
  </conditionalFormatting>
  <conditionalFormatting sqref="H50">
    <cfRule type="duplicateValues" dxfId="2" priority="3"/>
  </conditionalFormatting>
  <conditionalFormatting sqref="J50">
    <cfRule type="duplicateValues" dxfId="1" priority="4"/>
  </conditionalFormatting>
  <conditionalFormatting sqref="L1:L8 L50:L1048576">
    <cfRule type="duplicateValues" dxfId="0" priority="5"/>
  </conditionalFormatting>
  <pageMargins left="0.39" right="0.39" top="0.39" bottom="0.39" header="0" footer="0"/>
  <pageSetup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  <pageSetUpPr fitToPage="1"/>
  </sheetPr>
  <dimension ref="A1:S45"/>
  <sheetViews>
    <sheetView rightToLeft="1" view="pageBreakPreview" topLeftCell="A34" zoomScaleNormal="100" zoomScaleSheetLayoutView="100" workbookViewId="0">
      <selection activeCell="I37" sqref="I37"/>
    </sheetView>
  </sheetViews>
  <sheetFormatPr defaultRowHeight="12.75"/>
  <cols>
    <col min="1" max="1" width="29.7109375" bestFit="1" customWidth="1"/>
    <col min="2" max="2" width="1.28515625" customWidth="1"/>
    <col min="3" max="3" width="12.85546875" bestFit="1" customWidth="1"/>
    <col min="4" max="4" width="1.28515625" customWidth="1"/>
    <col min="5" max="5" width="18.5703125" bestFit="1" customWidth="1"/>
    <col min="6" max="6" width="1.28515625" customWidth="1"/>
    <col min="7" max="7" width="18.5703125" bestFit="1" customWidth="1"/>
    <col min="8" max="8" width="1.28515625" customWidth="1"/>
    <col min="9" max="9" width="26.28515625" bestFit="1" customWidth="1"/>
    <col min="10" max="10" width="1.28515625" customWidth="1"/>
    <col min="11" max="11" width="12.85546875" bestFit="1" customWidth="1"/>
    <col min="12" max="12" width="1.28515625" customWidth="1"/>
    <col min="13" max="13" width="18.5703125" bestFit="1" customWidth="1"/>
    <col min="14" max="14" width="1.28515625" customWidth="1"/>
    <col min="15" max="15" width="18.42578125" bestFit="1" customWidth="1"/>
    <col min="16" max="16" width="1.28515625" customWidth="1"/>
    <col min="17" max="17" width="26.28515625" bestFit="1" customWidth="1"/>
    <col min="18" max="18" width="15.42578125" bestFit="1" customWidth="1"/>
    <col min="19" max="19" width="14.42578125" bestFit="1" customWidth="1"/>
  </cols>
  <sheetData>
    <row r="1" spans="1:19" ht="29.1" customHeight="1">
      <c r="A1" s="95" t="str">
        <f>سهام!A1</f>
        <v>صندوق سرمایه گذاری افق دماوند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</row>
    <row r="2" spans="1:19" ht="21.75" customHeight="1">
      <c r="A2" s="95" t="s">
        <v>77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</row>
    <row r="3" spans="1:19" ht="21.75" customHeight="1">
      <c r="A3" s="95" t="str">
        <f>سهام!A3</f>
        <v>برای ماه منتهی به 1404/10/30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</row>
    <row r="4" spans="1:19" ht="14.45" customHeight="1"/>
    <row r="5" spans="1:19" ht="14.45" customHeight="1">
      <c r="A5" s="109" t="s">
        <v>187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</row>
    <row r="6" spans="1:19" ht="14.45" customHeight="1">
      <c r="A6" s="97" t="s">
        <v>80</v>
      </c>
      <c r="C6" s="97" t="s">
        <v>92</v>
      </c>
      <c r="D6" s="97"/>
      <c r="E6" s="97"/>
      <c r="F6" s="97"/>
      <c r="G6" s="97"/>
      <c r="H6" s="97"/>
      <c r="I6" s="97"/>
      <c r="K6" s="97" t="s">
        <v>93</v>
      </c>
      <c r="L6" s="97"/>
      <c r="M6" s="97"/>
      <c r="N6" s="97"/>
      <c r="O6" s="97"/>
      <c r="P6" s="97"/>
      <c r="Q6" s="97"/>
    </row>
    <row r="7" spans="1:19" ht="29.1" customHeight="1">
      <c r="A7" s="97"/>
      <c r="C7" s="8" t="s">
        <v>8</v>
      </c>
      <c r="D7" s="3"/>
      <c r="E7" s="8" t="s">
        <v>10</v>
      </c>
      <c r="F7" s="3"/>
      <c r="G7" s="8" t="s">
        <v>180</v>
      </c>
      <c r="H7" s="3"/>
      <c r="I7" s="8" t="s">
        <v>188</v>
      </c>
      <c r="K7" s="8" t="s">
        <v>8</v>
      </c>
      <c r="L7" s="3"/>
      <c r="M7" s="8" t="s">
        <v>10</v>
      </c>
      <c r="N7" s="3"/>
      <c r="O7" s="8" t="s">
        <v>180</v>
      </c>
      <c r="P7" s="3"/>
      <c r="Q7" s="8" t="s">
        <v>188</v>
      </c>
    </row>
    <row r="8" spans="1:19" ht="21.75" customHeight="1">
      <c r="A8" s="5" t="s">
        <v>32</v>
      </c>
      <c r="C8" s="55">
        <v>200000</v>
      </c>
      <c r="D8" s="51"/>
      <c r="E8" s="55">
        <v>9444425860</v>
      </c>
      <c r="F8" s="51"/>
      <c r="G8" s="55">
        <v>15953771215</v>
      </c>
      <c r="H8" s="51"/>
      <c r="I8" s="56">
        <f>E8-G8</f>
        <v>-6509345355</v>
      </c>
      <c r="J8" s="51"/>
      <c r="K8" s="55">
        <v>200000</v>
      </c>
      <c r="L8" s="51"/>
      <c r="M8" s="55">
        <v>9444425860</v>
      </c>
      <c r="N8" s="51"/>
      <c r="O8" s="55">
        <v>6722948439</v>
      </c>
      <c r="P8" s="51"/>
      <c r="Q8" s="56">
        <f>M8-O8</f>
        <v>2721477421</v>
      </c>
      <c r="R8" s="53"/>
      <c r="S8" s="53"/>
    </row>
    <row r="9" spans="1:19" ht="21.75" customHeight="1">
      <c r="A9" s="6" t="s">
        <v>38</v>
      </c>
      <c r="C9" s="56">
        <v>8628591</v>
      </c>
      <c r="D9" s="51"/>
      <c r="E9" s="56">
        <v>30814249277</v>
      </c>
      <c r="F9" s="51"/>
      <c r="G9" s="56">
        <v>30538380334</v>
      </c>
      <c r="H9" s="51"/>
      <c r="I9" s="56">
        <f t="shared" ref="I9:I41" si="0">E9-G9</f>
        <v>275868943</v>
      </c>
      <c r="J9" s="51"/>
      <c r="K9" s="56">
        <v>8628591</v>
      </c>
      <c r="L9" s="51"/>
      <c r="M9" s="56">
        <v>30814249277</v>
      </c>
      <c r="N9" s="51"/>
      <c r="O9" s="56">
        <v>25363131328</v>
      </c>
      <c r="P9" s="51"/>
      <c r="Q9" s="56">
        <f t="shared" ref="Q9:Q37" si="1">M9-O9</f>
        <v>5451117949</v>
      </c>
      <c r="R9" s="53"/>
      <c r="S9" s="53"/>
    </row>
    <row r="10" spans="1:19" ht="21.75" customHeight="1">
      <c r="A10" s="6" t="s">
        <v>24</v>
      </c>
      <c r="C10" s="56">
        <v>1219446</v>
      </c>
      <c r="D10" s="51"/>
      <c r="E10" s="56">
        <v>83382456315</v>
      </c>
      <c r="F10" s="51"/>
      <c r="G10" s="56">
        <v>54475086102</v>
      </c>
      <c r="H10" s="51"/>
      <c r="I10" s="56">
        <f t="shared" si="0"/>
        <v>28907370213</v>
      </c>
      <c r="J10" s="51"/>
      <c r="K10" s="56">
        <v>1219446</v>
      </c>
      <c r="L10" s="51"/>
      <c r="M10" s="56">
        <v>83382456315</v>
      </c>
      <c r="N10" s="51"/>
      <c r="O10" s="56">
        <v>42905676269</v>
      </c>
      <c r="P10" s="51"/>
      <c r="Q10" s="56">
        <f t="shared" si="1"/>
        <v>40476780046</v>
      </c>
      <c r="R10" s="53"/>
      <c r="S10" s="53"/>
    </row>
    <row r="11" spans="1:19" ht="21.75" customHeight="1">
      <c r="A11" s="6" t="s">
        <v>29</v>
      </c>
      <c r="C11" s="56">
        <v>375619</v>
      </c>
      <c r="D11" s="51"/>
      <c r="E11" s="56">
        <v>1964210501</v>
      </c>
      <c r="F11" s="51"/>
      <c r="G11" s="56">
        <v>2005209202</v>
      </c>
      <c r="H11" s="51"/>
      <c r="I11" s="56">
        <f t="shared" si="0"/>
        <v>-40998701</v>
      </c>
      <c r="J11" s="51"/>
      <c r="K11" s="56">
        <v>375619</v>
      </c>
      <c r="L11" s="51"/>
      <c r="M11" s="56">
        <v>1964210501</v>
      </c>
      <c r="N11" s="51"/>
      <c r="O11" s="56">
        <v>2444196615</v>
      </c>
      <c r="P11" s="51"/>
      <c r="Q11" s="56">
        <f t="shared" si="1"/>
        <v>-479986114</v>
      </c>
      <c r="R11" s="53"/>
      <c r="S11" s="53"/>
    </row>
    <row r="12" spans="1:19" ht="21.75" customHeight="1">
      <c r="A12" s="6" t="s">
        <v>42</v>
      </c>
      <c r="C12" s="56">
        <v>1043418</v>
      </c>
      <c r="D12" s="51"/>
      <c r="E12" s="56">
        <v>17290384726</v>
      </c>
      <c r="F12" s="51"/>
      <c r="G12" s="56">
        <v>16527852951</v>
      </c>
      <c r="H12" s="51"/>
      <c r="I12" s="56">
        <f t="shared" si="0"/>
        <v>762531775</v>
      </c>
      <c r="J12" s="51"/>
      <c r="K12" s="56">
        <v>1043418</v>
      </c>
      <c r="L12" s="51"/>
      <c r="M12" s="56">
        <v>17290384726</v>
      </c>
      <c r="N12" s="51"/>
      <c r="O12" s="56">
        <v>10712100194</v>
      </c>
      <c r="P12" s="51"/>
      <c r="Q12" s="56">
        <f t="shared" si="1"/>
        <v>6578284532</v>
      </c>
      <c r="R12" s="53"/>
      <c r="S12" s="53"/>
    </row>
    <row r="13" spans="1:19" ht="21.75" customHeight="1">
      <c r="A13" s="6" t="s">
        <v>21</v>
      </c>
      <c r="C13" s="56">
        <v>4783927</v>
      </c>
      <c r="D13" s="51"/>
      <c r="E13" s="56">
        <v>31472260229</v>
      </c>
      <c r="F13" s="51"/>
      <c r="G13" s="56">
        <v>28386744520</v>
      </c>
      <c r="H13" s="51"/>
      <c r="I13" s="56">
        <f t="shared" si="0"/>
        <v>3085515709</v>
      </c>
      <c r="J13" s="51"/>
      <c r="K13" s="56">
        <v>4783927</v>
      </c>
      <c r="L13" s="51"/>
      <c r="M13" s="56">
        <v>31472260229</v>
      </c>
      <c r="N13" s="51"/>
      <c r="O13" s="56">
        <v>25489279827</v>
      </c>
      <c r="P13" s="51"/>
      <c r="Q13" s="56">
        <f t="shared" si="1"/>
        <v>5982980402</v>
      </c>
      <c r="R13" s="53"/>
      <c r="S13" s="53"/>
    </row>
    <row r="14" spans="1:19" ht="21.75" customHeight="1">
      <c r="A14" s="6" t="s">
        <v>23</v>
      </c>
      <c r="C14" s="56">
        <v>138131</v>
      </c>
      <c r="D14" s="51"/>
      <c r="E14" s="56">
        <v>20665025805</v>
      </c>
      <c r="F14" s="51"/>
      <c r="G14" s="56">
        <v>14129691384</v>
      </c>
      <c r="H14" s="51"/>
      <c r="I14" s="56">
        <f t="shared" si="0"/>
        <v>6535334421</v>
      </c>
      <c r="J14" s="51"/>
      <c r="K14" s="56">
        <v>138131</v>
      </c>
      <c r="L14" s="51"/>
      <c r="M14" s="56">
        <v>20665025805</v>
      </c>
      <c r="N14" s="51"/>
      <c r="O14" s="56">
        <v>12015849482</v>
      </c>
      <c r="P14" s="51"/>
      <c r="Q14" s="56">
        <f t="shared" si="1"/>
        <v>8649176323</v>
      </c>
      <c r="R14" s="53"/>
      <c r="S14" s="53"/>
    </row>
    <row r="15" spans="1:19" ht="21.75" customHeight="1">
      <c r="A15" s="6" t="s">
        <v>43</v>
      </c>
      <c r="C15" s="56">
        <v>1761676</v>
      </c>
      <c r="D15" s="51"/>
      <c r="E15" s="56">
        <v>12935631009</v>
      </c>
      <c r="F15" s="51"/>
      <c r="G15" s="56">
        <v>13110436833</v>
      </c>
      <c r="H15" s="51"/>
      <c r="I15" s="56">
        <f t="shared" si="0"/>
        <v>-174805824</v>
      </c>
      <c r="J15" s="51"/>
      <c r="K15" s="56">
        <v>1761676</v>
      </c>
      <c r="L15" s="51"/>
      <c r="M15" s="56">
        <v>12935631009</v>
      </c>
      <c r="N15" s="51"/>
      <c r="O15" s="56">
        <v>15793110147</v>
      </c>
      <c r="P15" s="51"/>
      <c r="Q15" s="56">
        <f t="shared" si="1"/>
        <v>-2857479138</v>
      </c>
      <c r="R15" s="53"/>
      <c r="S15" s="53"/>
    </row>
    <row r="16" spans="1:19" ht="21.75" customHeight="1">
      <c r="A16" s="6" t="s">
        <v>40</v>
      </c>
      <c r="C16" s="56">
        <v>1200000</v>
      </c>
      <c r="D16" s="51"/>
      <c r="E16" s="56">
        <v>23421541080</v>
      </c>
      <c r="F16" s="51"/>
      <c r="G16" s="56">
        <v>23717242111</v>
      </c>
      <c r="H16" s="51"/>
      <c r="I16" s="56">
        <f t="shared" si="0"/>
        <v>-295701031</v>
      </c>
      <c r="J16" s="51"/>
      <c r="K16" s="56">
        <v>1200000</v>
      </c>
      <c r="L16" s="51"/>
      <c r="M16" s="56">
        <v>23421541080</v>
      </c>
      <c r="N16" s="51"/>
      <c r="O16" s="56">
        <v>19898472335</v>
      </c>
      <c r="P16" s="51"/>
      <c r="Q16" s="56">
        <f t="shared" si="1"/>
        <v>3523068745</v>
      </c>
      <c r="R16" s="53"/>
      <c r="S16" s="53"/>
    </row>
    <row r="17" spans="1:19" ht="21.75" customHeight="1">
      <c r="A17" s="6" t="s">
        <v>37</v>
      </c>
      <c r="C17" s="56">
        <v>10429785</v>
      </c>
      <c r="D17" s="51"/>
      <c r="E17" s="56">
        <v>265249041588</v>
      </c>
      <c r="F17" s="51"/>
      <c r="G17" s="56">
        <v>289986946180</v>
      </c>
      <c r="H17" s="51"/>
      <c r="I17" s="56">
        <f t="shared" si="0"/>
        <v>-24737904592</v>
      </c>
      <c r="J17" s="51"/>
      <c r="K17" s="56">
        <v>10429785</v>
      </c>
      <c r="L17" s="51"/>
      <c r="M17" s="56">
        <v>265249041588</v>
      </c>
      <c r="N17" s="51"/>
      <c r="O17" s="56">
        <v>228788591847</v>
      </c>
      <c r="P17" s="51"/>
      <c r="Q17" s="56">
        <f t="shared" si="1"/>
        <v>36460449741</v>
      </c>
      <c r="R17" s="53"/>
      <c r="S17" s="53"/>
    </row>
    <row r="18" spans="1:19" ht="21.75" customHeight="1">
      <c r="A18" s="6" t="s">
        <v>256</v>
      </c>
      <c r="C18" s="56">
        <v>326585</v>
      </c>
      <c r="D18" s="51"/>
      <c r="E18" s="56">
        <v>21760662437</v>
      </c>
      <c r="F18" s="51"/>
      <c r="G18" s="56">
        <v>21480237104</v>
      </c>
      <c r="H18" s="51"/>
      <c r="I18" s="56">
        <f t="shared" si="0"/>
        <v>280425333</v>
      </c>
      <c r="J18" s="51"/>
      <c r="K18" s="56">
        <v>326585</v>
      </c>
      <c r="L18" s="51"/>
      <c r="M18" s="56">
        <v>21760662437</v>
      </c>
      <c r="N18" s="51"/>
      <c r="O18" s="56">
        <v>20980355372</v>
      </c>
      <c r="P18" s="51"/>
      <c r="Q18" s="56">
        <f t="shared" si="1"/>
        <v>780307065</v>
      </c>
      <c r="R18" s="53"/>
      <c r="S18" s="53"/>
    </row>
    <row r="19" spans="1:19" ht="21.75" customHeight="1">
      <c r="A19" s="6" t="s">
        <v>19</v>
      </c>
      <c r="C19" s="56">
        <v>533616</v>
      </c>
      <c r="D19" s="51"/>
      <c r="E19" s="56">
        <v>320834571501</v>
      </c>
      <c r="F19" s="51"/>
      <c r="G19" s="56">
        <v>215766867740</v>
      </c>
      <c r="H19" s="51"/>
      <c r="I19" s="56">
        <f t="shared" si="0"/>
        <v>105067703761</v>
      </c>
      <c r="J19" s="51"/>
      <c r="K19" s="56">
        <v>533616</v>
      </c>
      <c r="L19" s="51"/>
      <c r="M19" s="56">
        <v>320834571501</v>
      </c>
      <c r="N19" s="51"/>
      <c r="O19" s="56">
        <v>138953666921</v>
      </c>
      <c r="P19" s="51"/>
      <c r="Q19" s="56">
        <f t="shared" si="1"/>
        <v>181880904580</v>
      </c>
      <c r="R19" s="53"/>
      <c r="S19" s="53"/>
    </row>
    <row r="20" spans="1:19" ht="21.75" customHeight="1">
      <c r="A20" s="6" t="s">
        <v>33</v>
      </c>
      <c r="C20" s="56">
        <v>57802068</v>
      </c>
      <c r="D20" s="51"/>
      <c r="E20" s="56">
        <v>767986904812</v>
      </c>
      <c r="F20" s="51"/>
      <c r="G20" s="56">
        <v>623491803060</v>
      </c>
      <c r="H20" s="51"/>
      <c r="I20" s="56">
        <f t="shared" si="0"/>
        <v>144495101752</v>
      </c>
      <c r="J20" s="51"/>
      <c r="K20" s="56">
        <v>57802068</v>
      </c>
      <c r="L20" s="51"/>
      <c r="M20" s="56">
        <v>767986904812</v>
      </c>
      <c r="N20" s="51"/>
      <c r="O20" s="56">
        <v>475338916827</v>
      </c>
      <c r="P20" s="51"/>
      <c r="Q20" s="56">
        <f t="shared" si="1"/>
        <v>292647987985</v>
      </c>
      <c r="R20" s="53"/>
      <c r="S20" s="53"/>
    </row>
    <row r="21" spans="1:19" ht="21.75" customHeight="1">
      <c r="A21" s="6" t="s">
        <v>30</v>
      </c>
      <c r="C21" s="56">
        <v>7026569</v>
      </c>
      <c r="D21" s="51"/>
      <c r="E21" s="56">
        <v>190830581624</v>
      </c>
      <c r="F21" s="51"/>
      <c r="G21" s="56">
        <v>154286759459</v>
      </c>
      <c r="H21" s="51"/>
      <c r="I21" s="56">
        <f t="shared" si="0"/>
        <v>36543822165</v>
      </c>
      <c r="J21" s="51"/>
      <c r="K21" s="56">
        <v>7026569</v>
      </c>
      <c r="L21" s="51"/>
      <c r="M21" s="56">
        <v>190830581624</v>
      </c>
      <c r="N21" s="51"/>
      <c r="O21" s="56">
        <v>123909597348</v>
      </c>
      <c r="P21" s="51"/>
      <c r="Q21" s="56">
        <f t="shared" si="1"/>
        <v>66920984276</v>
      </c>
      <c r="R21" s="53"/>
      <c r="S21" s="53"/>
    </row>
    <row r="22" spans="1:19" ht="21.75" customHeight="1">
      <c r="A22" s="6" t="s">
        <v>26</v>
      </c>
      <c r="C22" s="56">
        <v>3935165</v>
      </c>
      <c r="D22" s="51"/>
      <c r="E22" s="56">
        <v>76298740250</v>
      </c>
      <c r="F22" s="51"/>
      <c r="G22" s="56">
        <v>60270972138</v>
      </c>
      <c r="H22" s="51"/>
      <c r="I22" s="56">
        <f t="shared" si="0"/>
        <v>16027768112</v>
      </c>
      <c r="J22" s="51"/>
      <c r="K22" s="56">
        <v>3935165</v>
      </c>
      <c r="L22" s="51"/>
      <c r="M22" s="56">
        <v>76298740250</v>
      </c>
      <c r="N22" s="51"/>
      <c r="O22" s="56">
        <v>45094680107</v>
      </c>
      <c r="P22" s="51"/>
      <c r="Q22" s="56">
        <f t="shared" si="1"/>
        <v>31204060143</v>
      </c>
      <c r="R22" s="53"/>
      <c r="S22" s="53"/>
    </row>
    <row r="23" spans="1:19" ht="21.75" customHeight="1">
      <c r="A23" s="6" t="s">
        <v>28</v>
      </c>
      <c r="C23" s="56">
        <v>2718545</v>
      </c>
      <c r="D23" s="51"/>
      <c r="E23" s="56">
        <v>24142899291</v>
      </c>
      <c r="F23" s="51"/>
      <c r="G23" s="56">
        <v>22686232742</v>
      </c>
      <c r="H23" s="51"/>
      <c r="I23" s="56">
        <f t="shared" si="0"/>
        <v>1456666549</v>
      </c>
      <c r="J23" s="51"/>
      <c r="K23" s="56">
        <v>2718545</v>
      </c>
      <c r="L23" s="51"/>
      <c r="M23" s="56">
        <v>24142899291</v>
      </c>
      <c r="N23" s="51"/>
      <c r="O23" s="56">
        <v>17816723122</v>
      </c>
      <c r="P23" s="51"/>
      <c r="Q23" s="56">
        <f t="shared" si="1"/>
        <v>6326176169</v>
      </c>
      <c r="R23" s="53"/>
      <c r="S23" s="53"/>
    </row>
    <row r="24" spans="1:19" ht="21.75" customHeight="1">
      <c r="A24" s="6" t="s">
        <v>36</v>
      </c>
      <c r="C24" s="56">
        <v>37755535</v>
      </c>
      <c r="D24" s="51"/>
      <c r="E24" s="56">
        <v>76463380502</v>
      </c>
      <c r="F24" s="51"/>
      <c r="G24" s="56">
        <v>71560251990</v>
      </c>
      <c r="H24" s="51"/>
      <c r="I24" s="56">
        <f t="shared" si="0"/>
        <v>4903128512</v>
      </c>
      <c r="J24" s="51"/>
      <c r="K24" s="56">
        <v>37755535</v>
      </c>
      <c r="L24" s="51"/>
      <c r="M24" s="56">
        <v>76463380502</v>
      </c>
      <c r="N24" s="51"/>
      <c r="O24" s="56">
        <v>63642999693</v>
      </c>
      <c r="P24" s="51"/>
      <c r="Q24" s="56">
        <f t="shared" si="1"/>
        <v>12820380809</v>
      </c>
      <c r="R24" s="53"/>
      <c r="S24" s="53"/>
    </row>
    <row r="25" spans="1:19" ht="21.75" customHeight="1">
      <c r="A25" s="6" t="s">
        <v>39</v>
      </c>
      <c r="C25" s="56">
        <v>392907</v>
      </c>
      <c r="D25" s="51"/>
      <c r="E25" s="56">
        <v>10152210344</v>
      </c>
      <c r="F25" s="51"/>
      <c r="G25" s="56">
        <v>10007958507</v>
      </c>
      <c r="H25" s="51"/>
      <c r="I25" s="56">
        <f t="shared" si="0"/>
        <v>144251837</v>
      </c>
      <c r="J25" s="51"/>
      <c r="K25" s="56">
        <v>392907</v>
      </c>
      <c r="L25" s="51"/>
      <c r="M25" s="56">
        <v>10152210344</v>
      </c>
      <c r="N25" s="51"/>
      <c r="O25" s="56">
        <v>6528136794</v>
      </c>
      <c r="P25" s="51"/>
      <c r="Q25" s="56">
        <f t="shared" si="1"/>
        <v>3624073550</v>
      </c>
      <c r="R25" s="53"/>
      <c r="S25" s="53"/>
    </row>
    <row r="26" spans="1:19" ht="21.75" customHeight="1">
      <c r="A26" s="6" t="s">
        <v>18</v>
      </c>
      <c r="C26" s="56">
        <v>32427214</v>
      </c>
      <c r="D26" s="51"/>
      <c r="E26" s="56">
        <v>128384441026</v>
      </c>
      <c r="F26" s="51"/>
      <c r="G26" s="56">
        <v>103254554199</v>
      </c>
      <c r="H26" s="51"/>
      <c r="I26" s="56">
        <f t="shared" si="0"/>
        <v>25129886827</v>
      </c>
      <c r="J26" s="51"/>
      <c r="K26" s="56">
        <v>32427214</v>
      </c>
      <c r="L26" s="51"/>
      <c r="M26" s="56">
        <v>128384441026</v>
      </c>
      <c r="N26" s="51"/>
      <c r="O26" s="56">
        <v>85964931487</v>
      </c>
      <c r="P26" s="51"/>
      <c r="Q26" s="56">
        <f t="shared" si="1"/>
        <v>42419509539</v>
      </c>
      <c r="R26" s="53"/>
      <c r="S26" s="53"/>
    </row>
    <row r="27" spans="1:19" ht="21.75" customHeight="1">
      <c r="A27" s="6" t="s">
        <v>22</v>
      </c>
      <c r="C27" s="56">
        <v>4356206</v>
      </c>
      <c r="D27" s="51"/>
      <c r="E27" s="56">
        <v>262334499101</v>
      </c>
      <c r="F27" s="51"/>
      <c r="G27" s="56">
        <v>225092808918</v>
      </c>
      <c r="H27" s="51"/>
      <c r="I27" s="56">
        <f t="shared" si="0"/>
        <v>37241690183</v>
      </c>
      <c r="J27" s="51"/>
      <c r="K27" s="56">
        <v>4356206</v>
      </c>
      <c r="L27" s="51"/>
      <c r="M27" s="56">
        <v>262334499101</v>
      </c>
      <c r="N27" s="51"/>
      <c r="O27" s="56">
        <v>186525819332</v>
      </c>
      <c r="P27" s="51"/>
      <c r="Q27" s="56">
        <f t="shared" si="1"/>
        <v>75808679769</v>
      </c>
      <c r="R27" s="53"/>
      <c r="S27" s="53"/>
    </row>
    <row r="28" spans="1:19" ht="21.75" customHeight="1">
      <c r="A28" s="6" t="s">
        <v>268</v>
      </c>
      <c r="C28" s="56">
        <v>522338</v>
      </c>
      <c r="D28" s="51"/>
      <c r="E28" s="56">
        <v>119525238469</v>
      </c>
      <c r="F28" s="51"/>
      <c r="G28" s="56">
        <v>133644006055</v>
      </c>
      <c r="H28" s="51"/>
      <c r="I28" s="56">
        <f t="shared" si="0"/>
        <v>-14118767586</v>
      </c>
      <c r="J28" s="51"/>
      <c r="K28" s="56">
        <v>522338</v>
      </c>
      <c r="L28" s="51"/>
      <c r="M28" s="56">
        <v>119525238469</v>
      </c>
      <c r="N28" s="51"/>
      <c r="O28" s="56">
        <v>121833514471</v>
      </c>
      <c r="P28" s="51"/>
      <c r="Q28" s="56">
        <f t="shared" si="1"/>
        <v>-2308276002</v>
      </c>
      <c r="R28" s="53"/>
      <c r="S28" s="53"/>
    </row>
    <row r="29" spans="1:19" ht="21.75" customHeight="1">
      <c r="A29" s="6" t="s">
        <v>44</v>
      </c>
      <c r="C29" s="56">
        <v>8932996</v>
      </c>
      <c r="D29" s="51"/>
      <c r="E29" s="56">
        <v>71266109284</v>
      </c>
      <c r="F29" s="51"/>
      <c r="G29" s="56">
        <v>78577320918</v>
      </c>
      <c r="H29" s="51"/>
      <c r="I29" s="56">
        <f t="shared" si="0"/>
        <v>-7311211634</v>
      </c>
      <c r="J29" s="51"/>
      <c r="K29" s="56">
        <v>8932996</v>
      </c>
      <c r="L29" s="51"/>
      <c r="M29" s="56">
        <v>71266109284</v>
      </c>
      <c r="N29" s="51"/>
      <c r="O29" s="56">
        <v>40614986325</v>
      </c>
      <c r="P29" s="51"/>
      <c r="Q29" s="56">
        <f t="shared" si="1"/>
        <v>30651122959</v>
      </c>
      <c r="R29" s="53"/>
      <c r="S29" s="53"/>
    </row>
    <row r="30" spans="1:19" ht="21.75" customHeight="1">
      <c r="A30" s="6" t="s">
        <v>20</v>
      </c>
      <c r="C30" s="56">
        <v>4740700</v>
      </c>
      <c r="D30" s="51"/>
      <c r="E30" s="56">
        <v>63128409900</v>
      </c>
      <c r="F30" s="51"/>
      <c r="G30" s="56">
        <v>66556249392</v>
      </c>
      <c r="H30" s="51"/>
      <c r="I30" s="56">
        <f t="shared" si="0"/>
        <v>-3427839492</v>
      </c>
      <c r="J30" s="51"/>
      <c r="K30" s="56">
        <v>4740700</v>
      </c>
      <c r="L30" s="51"/>
      <c r="M30" s="56">
        <v>63128409900</v>
      </c>
      <c r="N30" s="51"/>
      <c r="O30" s="56">
        <v>45711814454</v>
      </c>
      <c r="P30" s="51"/>
      <c r="Q30" s="56">
        <f t="shared" si="1"/>
        <v>17416595446</v>
      </c>
      <c r="R30" s="53"/>
      <c r="S30" s="53"/>
    </row>
    <row r="31" spans="1:19" ht="21.75" customHeight="1">
      <c r="A31" s="6" t="s">
        <v>46</v>
      </c>
      <c r="C31" s="56">
        <v>902439</v>
      </c>
      <c r="D31" s="51"/>
      <c r="E31" s="56">
        <v>49348974005</v>
      </c>
      <c r="F31" s="51"/>
      <c r="G31" s="56">
        <v>55503737570</v>
      </c>
      <c r="H31" s="51"/>
      <c r="I31" s="56">
        <f t="shared" si="0"/>
        <v>-6154763565</v>
      </c>
      <c r="J31" s="51"/>
      <c r="K31" s="56">
        <v>902439</v>
      </c>
      <c r="L31" s="51"/>
      <c r="M31" s="56">
        <v>49348974005</v>
      </c>
      <c r="N31" s="51"/>
      <c r="O31" s="56">
        <v>53666007944</v>
      </c>
      <c r="P31" s="51"/>
      <c r="Q31" s="56">
        <f t="shared" si="1"/>
        <v>-4317033939</v>
      </c>
      <c r="R31" s="53"/>
      <c r="S31" s="53"/>
    </row>
    <row r="32" spans="1:19" ht="21.75" customHeight="1">
      <c r="A32" s="6" t="s">
        <v>25</v>
      </c>
      <c r="C32" s="56">
        <v>2140168</v>
      </c>
      <c r="D32" s="51"/>
      <c r="E32" s="56">
        <v>100978345039</v>
      </c>
      <c r="F32" s="51"/>
      <c r="G32" s="56">
        <v>85854270352</v>
      </c>
      <c r="H32" s="51"/>
      <c r="I32" s="56">
        <f t="shared" si="0"/>
        <v>15124074687</v>
      </c>
      <c r="J32" s="51"/>
      <c r="K32" s="56">
        <v>2140168</v>
      </c>
      <c r="L32" s="51"/>
      <c r="M32" s="56">
        <v>100978345039</v>
      </c>
      <c r="N32" s="51"/>
      <c r="O32" s="56">
        <v>70096377866</v>
      </c>
      <c r="P32" s="51"/>
      <c r="Q32" s="56">
        <f t="shared" si="1"/>
        <v>30881967173</v>
      </c>
      <c r="R32" s="53"/>
      <c r="S32" s="53"/>
    </row>
    <row r="33" spans="1:19" ht="21.75" customHeight="1">
      <c r="A33" s="6" t="s">
        <v>35</v>
      </c>
      <c r="C33" s="56">
        <v>18612437</v>
      </c>
      <c r="D33" s="51"/>
      <c r="E33" s="56">
        <v>67650345763</v>
      </c>
      <c r="F33" s="51"/>
      <c r="G33" s="56">
        <v>68593978989</v>
      </c>
      <c r="H33" s="51"/>
      <c r="I33" s="56">
        <f t="shared" si="0"/>
        <v>-943633226</v>
      </c>
      <c r="J33" s="51"/>
      <c r="K33" s="56">
        <v>18612437</v>
      </c>
      <c r="L33" s="51"/>
      <c r="M33" s="56">
        <v>67650345763</v>
      </c>
      <c r="N33" s="51"/>
      <c r="O33" s="56">
        <v>36725764886</v>
      </c>
      <c r="P33" s="51"/>
      <c r="Q33" s="56">
        <f t="shared" si="1"/>
        <v>30924580877</v>
      </c>
      <c r="R33" s="53"/>
      <c r="S33" s="53"/>
    </row>
    <row r="34" spans="1:19" ht="21.75" customHeight="1">
      <c r="A34" s="6" t="s">
        <v>41</v>
      </c>
      <c r="C34" s="56">
        <v>9106498</v>
      </c>
      <c r="D34" s="51"/>
      <c r="E34" s="56">
        <v>43644386041</v>
      </c>
      <c r="F34" s="51"/>
      <c r="G34" s="56">
        <v>40679619098</v>
      </c>
      <c r="H34" s="51"/>
      <c r="I34" s="56">
        <f t="shared" si="0"/>
        <v>2964766943</v>
      </c>
      <c r="J34" s="51"/>
      <c r="K34" s="56">
        <v>9106498</v>
      </c>
      <c r="L34" s="51"/>
      <c r="M34" s="56">
        <v>43644386041</v>
      </c>
      <c r="N34" s="51"/>
      <c r="O34" s="56">
        <v>38087650159</v>
      </c>
      <c r="P34" s="51"/>
      <c r="Q34" s="56">
        <f t="shared" si="1"/>
        <v>5556735882</v>
      </c>
      <c r="R34" s="53"/>
      <c r="S34" s="53"/>
    </row>
    <row r="35" spans="1:19" ht="21.75" customHeight="1">
      <c r="A35" s="6" t="s">
        <v>27</v>
      </c>
      <c r="C35" s="56">
        <v>1600000</v>
      </c>
      <c r="D35" s="51"/>
      <c r="E35" s="56">
        <v>4123080304</v>
      </c>
      <c r="F35" s="51"/>
      <c r="G35" s="56">
        <v>4096090560</v>
      </c>
      <c r="H35" s="51"/>
      <c r="I35" s="56">
        <f t="shared" si="0"/>
        <v>26989744</v>
      </c>
      <c r="J35" s="51"/>
      <c r="K35" s="56">
        <v>1600000</v>
      </c>
      <c r="L35" s="51"/>
      <c r="M35" s="56">
        <v>4123080304</v>
      </c>
      <c r="N35" s="51"/>
      <c r="O35" s="56">
        <v>4877193806</v>
      </c>
      <c r="P35" s="51"/>
      <c r="Q35" s="56">
        <f t="shared" si="1"/>
        <v>-754113502</v>
      </c>
      <c r="R35" s="53"/>
      <c r="S35" s="53"/>
    </row>
    <row r="36" spans="1:19" ht="21.75" customHeight="1">
      <c r="A36" s="6" t="s">
        <v>45</v>
      </c>
      <c r="C36" s="56">
        <v>562500</v>
      </c>
      <c r="D36" s="51"/>
      <c r="E36" s="56">
        <v>5497795968</v>
      </c>
      <c r="F36" s="51"/>
      <c r="G36" s="56">
        <v>5542448118</v>
      </c>
      <c r="H36" s="51"/>
      <c r="I36" s="56">
        <f t="shared" si="0"/>
        <v>-44652150</v>
      </c>
      <c r="J36" s="51"/>
      <c r="K36" s="56">
        <v>562500</v>
      </c>
      <c r="L36" s="51"/>
      <c r="M36" s="56">
        <v>5497795968</v>
      </c>
      <c r="N36" s="51"/>
      <c r="O36" s="56">
        <v>5067096750</v>
      </c>
      <c r="P36" s="51"/>
      <c r="Q36" s="56">
        <f t="shared" si="1"/>
        <v>430699218</v>
      </c>
      <c r="R36" s="53"/>
      <c r="S36" s="53"/>
    </row>
    <row r="37" spans="1:19" ht="21.75" customHeight="1">
      <c r="A37" s="6" t="s">
        <v>267</v>
      </c>
      <c r="C37" s="56">
        <v>750000</v>
      </c>
      <c r="D37" s="51"/>
      <c r="E37" s="56">
        <v>8550886725</v>
      </c>
      <c r="F37" s="51"/>
      <c r="G37" s="56">
        <v>6166260600</v>
      </c>
      <c r="H37" s="51"/>
      <c r="I37" s="56">
        <f>E37-G37</f>
        <v>2384626125</v>
      </c>
      <c r="J37" s="51"/>
      <c r="K37" s="56">
        <v>750000</v>
      </c>
      <c r="L37" s="51"/>
      <c r="M37" s="56">
        <v>8550886725</v>
      </c>
      <c r="N37" s="51"/>
      <c r="O37" s="56">
        <v>6166260600</v>
      </c>
      <c r="P37" s="51"/>
      <c r="Q37" s="56">
        <f t="shared" si="1"/>
        <v>2384626125</v>
      </c>
      <c r="R37" s="53"/>
      <c r="S37" s="53"/>
    </row>
    <row r="38" spans="1:19" ht="21.75" customHeight="1">
      <c r="A38" s="92" t="s">
        <v>274</v>
      </c>
      <c r="C38" s="56">
        <v>1012000</v>
      </c>
      <c r="D38" s="56"/>
      <c r="E38" s="56">
        <v>6400096251</v>
      </c>
      <c r="F38" s="56"/>
      <c r="G38" s="56">
        <v>1524000000</v>
      </c>
      <c r="H38" s="56"/>
      <c r="I38" s="56">
        <f>G38-E38</f>
        <v>-4876096251</v>
      </c>
      <c r="J38" s="56"/>
      <c r="K38" s="56">
        <v>1012000</v>
      </c>
      <c r="L38" s="56"/>
      <c r="M38" s="56">
        <v>6400096251</v>
      </c>
      <c r="N38" s="56"/>
      <c r="O38" s="56">
        <v>1524000000</v>
      </c>
      <c r="P38" s="56"/>
      <c r="Q38" s="56">
        <f>O38-M38</f>
        <v>-4876096251</v>
      </c>
      <c r="R38" s="53"/>
      <c r="S38" s="53"/>
    </row>
    <row r="39" spans="1:19" ht="21.75" customHeight="1">
      <c r="A39" s="92" t="s">
        <v>68</v>
      </c>
      <c r="C39" s="56">
        <v>51700</v>
      </c>
      <c r="D39" s="56"/>
      <c r="E39" s="56">
        <v>51671888125</v>
      </c>
      <c r="F39" s="56"/>
      <c r="G39" s="56">
        <v>51617580136</v>
      </c>
      <c r="H39" s="56"/>
      <c r="I39" s="56">
        <f t="shared" si="0"/>
        <v>54307989</v>
      </c>
      <c r="J39" s="56"/>
      <c r="K39" s="56">
        <v>0</v>
      </c>
      <c r="L39" s="56"/>
      <c r="M39" s="56">
        <v>0</v>
      </c>
      <c r="N39" s="56"/>
      <c r="O39" s="56">
        <v>0</v>
      </c>
      <c r="P39" s="56"/>
      <c r="Q39" s="56">
        <v>0</v>
      </c>
      <c r="R39" s="53"/>
      <c r="S39" s="53"/>
    </row>
    <row r="40" spans="1:19" ht="21.75" customHeight="1">
      <c r="A40" s="92" t="s">
        <v>281</v>
      </c>
      <c r="C40" s="56">
        <v>400000</v>
      </c>
      <c r="D40" s="56"/>
      <c r="E40" s="56">
        <v>4393771574</v>
      </c>
      <c r="F40" s="56"/>
      <c r="G40" s="56">
        <v>4307526305</v>
      </c>
      <c r="H40" s="56"/>
      <c r="I40" s="56">
        <f t="shared" si="0"/>
        <v>86245269</v>
      </c>
      <c r="J40" s="56"/>
      <c r="K40" s="56">
        <v>0</v>
      </c>
      <c r="L40" s="56"/>
      <c r="M40" s="56">
        <v>0</v>
      </c>
      <c r="N40" s="56"/>
      <c r="O40" s="56">
        <v>0</v>
      </c>
      <c r="P40" s="56"/>
      <c r="Q40" s="56">
        <v>0</v>
      </c>
      <c r="R40" s="53"/>
      <c r="S40" s="53"/>
    </row>
    <row r="41" spans="1:19" ht="21.75" customHeight="1">
      <c r="A41" s="92" t="s">
        <v>34</v>
      </c>
      <c r="C41" s="56">
        <v>1000000</v>
      </c>
      <c r="D41" s="56"/>
      <c r="E41" s="56">
        <v>10664917998</v>
      </c>
      <c r="F41" s="56"/>
      <c r="G41" s="56">
        <v>8123654998</v>
      </c>
      <c r="H41" s="56"/>
      <c r="I41" s="56">
        <f t="shared" si="0"/>
        <v>2541263000</v>
      </c>
      <c r="J41" s="56"/>
      <c r="K41" s="56">
        <v>0</v>
      </c>
      <c r="L41" s="56"/>
      <c r="M41" s="56">
        <v>0</v>
      </c>
      <c r="N41" s="56"/>
      <c r="O41" s="56">
        <v>0</v>
      </c>
      <c r="P41" s="56"/>
      <c r="Q41" s="56">
        <v>0</v>
      </c>
      <c r="R41" s="53"/>
      <c r="S41" s="53"/>
    </row>
    <row r="42" spans="1:19" ht="21.75" customHeight="1" thickBot="1">
      <c r="A42" s="24"/>
      <c r="C42" s="50">
        <f>SUM(C8:C41)</f>
        <v>227388779</v>
      </c>
      <c r="D42" s="51"/>
      <c r="E42" s="50">
        <f>SUM(E8:E41)</f>
        <v>2982672362724</v>
      </c>
      <c r="F42" s="51"/>
      <c r="G42" s="58"/>
      <c r="H42" s="51"/>
      <c r="I42" s="58">
        <f>SUM(I8:I41)</f>
        <v>365403620442</v>
      </c>
      <c r="J42" s="51"/>
      <c r="K42" s="50">
        <f>SUM(K8:K41)</f>
        <v>225937079</v>
      </c>
      <c r="L42" s="51"/>
      <c r="M42" s="50">
        <f>SUM(M8:M41)</f>
        <v>2915941785027</v>
      </c>
      <c r="N42" s="51"/>
      <c r="O42" s="50"/>
      <c r="P42" s="51"/>
      <c r="Q42" s="50">
        <f>SUM(Q8:Q41)</f>
        <v>926929741778</v>
      </c>
      <c r="R42" s="53"/>
    </row>
    <row r="43" spans="1:19" ht="13.5" thickTop="1">
      <c r="I43" s="53"/>
      <c r="R43" s="53"/>
    </row>
    <row r="44" spans="1:19">
      <c r="I44" s="53"/>
      <c r="Q44" s="45"/>
      <c r="R44" s="53"/>
    </row>
    <row r="45" spans="1:19">
      <c r="I45" s="53"/>
      <c r="Q45" s="53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69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B6936-1209-48B8-8C2B-2ACED299F891}">
  <sheetPr>
    <tabColor rgb="FF92D050"/>
  </sheetPr>
  <dimension ref="A1:Q13"/>
  <sheetViews>
    <sheetView rightToLeft="1" view="pageBreakPreview" zoomScaleNormal="100" zoomScaleSheetLayoutView="100" workbookViewId="0">
      <selection activeCell="F9" sqref="F9"/>
    </sheetView>
  </sheetViews>
  <sheetFormatPr defaultRowHeight="15"/>
  <cols>
    <col min="1" max="1" width="17.42578125" style="61" customWidth="1"/>
    <col min="2" max="2" width="9.28515625" style="61" bestFit="1" customWidth="1"/>
    <col min="3" max="3" width="39.28515625" style="61" bestFit="1" customWidth="1"/>
    <col min="4" max="4" width="12.42578125" style="61" bestFit="1" customWidth="1"/>
    <col min="5" max="5" width="17.42578125" style="61" bestFit="1" customWidth="1"/>
    <col min="6" max="6" width="16.5703125" style="61" bestFit="1" customWidth="1"/>
    <col min="7" max="7" width="9.42578125" style="61" bestFit="1" customWidth="1"/>
    <col min="8" max="8" width="15" style="61" customWidth="1"/>
    <col min="9" max="11" width="9.140625" style="61"/>
    <col min="12" max="12" width="15.28515625" style="61" bestFit="1" customWidth="1"/>
    <col min="13" max="13" width="9.140625" style="61"/>
    <col min="14" max="14" width="15.28515625" style="61" bestFit="1" customWidth="1"/>
    <col min="15" max="16384" width="9.140625" style="61"/>
  </cols>
  <sheetData>
    <row r="1" spans="1:17" ht="26.25" customHeight="1">
      <c r="A1" s="104" t="str">
        <f>'درآمد ناشی از تغییر قیمت اوراق'!A1:Q1</f>
        <v>صندوق سرمایه گذاری افق دماوند</v>
      </c>
      <c r="B1" s="104"/>
      <c r="C1" s="104"/>
      <c r="D1" s="104"/>
      <c r="E1" s="104"/>
      <c r="F1" s="104"/>
      <c r="G1" s="104"/>
      <c r="H1" s="104"/>
      <c r="I1" s="74"/>
      <c r="J1" s="74"/>
      <c r="K1" s="74"/>
      <c r="L1" s="74"/>
      <c r="M1" s="74"/>
      <c r="N1" s="74"/>
      <c r="O1" s="74"/>
      <c r="P1" s="74"/>
      <c r="Q1" s="74"/>
    </row>
    <row r="2" spans="1:17" ht="26.25" customHeight="1">
      <c r="A2" s="104" t="s">
        <v>77</v>
      </c>
      <c r="B2" s="104"/>
      <c r="C2" s="104"/>
      <c r="D2" s="104"/>
      <c r="E2" s="104"/>
      <c r="F2" s="104"/>
      <c r="G2" s="104"/>
      <c r="H2" s="104"/>
      <c r="I2" s="74"/>
      <c r="J2" s="74"/>
      <c r="K2" s="74"/>
      <c r="L2" s="74"/>
      <c r="M2" s="74"/>
      <c r="N2" s="74"/>
      <c r="O2" s="74"/>
      <c r="P2" s="74"/>
      <c r="Q2" s="74"/>
    </row>
    <row r="3" spans="1:17" ht="25.5">
      <c r="A3" s="104" t="str">
        <f>سهام!A3</f>
        <v>برای ماه منتهی به 1404/10/30</v>
      </c>
      <c r="B3" s="104"/>
      <c r="C3" s="104"/>
      <c r="D3" s="104"/>
      <c r="E3" s="104"/>
      <c r="F3" s="104"/>
      <c r="G3" s="104"/>
      <c r="H3" s="104"/>
      <c r="I3" s="74"/>
      <c r="J3" s="74"/>
      <c r="K3" s="74"/>
      <c r="L3" s="74"/>
      <c r="M3" s="74"/>
      <c r="N3" s="74"/>
      <c r="O3" s="74"/>
      <c r="P3" s="74"/>
      <c r="Q3" s="74"/>
    </row>
    <row r="6" spans="1:17" ht="21">
      <c r="A6" s="110" t="s">
        <v>251</v>
      </c>
      <c r="B6" s="111"/>
      <c r="C6" s="111"/>
      <c r="D6" s="111"/>
      <c r="E6" s="111"/>
      <c r="F6" s="111"/>
      <c r="G6" s="111"/>
      <c r="H6" s="67"/>
    </row>
    <row r="7" spans="1:17" ht="15.75" thickBot="1">
      <c r="A7" s="67"/>
      <c r="B7" s="67"/>
      <c r="C7" s="67"/>
      <c r="D7" s="67"/>
      <c r="E7" s="67"/>
      <c r="F7" s="67"/>
      <c r="G7" s="67"/>
      <c r="H7" s="67"/>
    </row>
    <row r="8" spans="1:17" ht="51.75">
      <c r="A8" s="73" t="s">
        <v>134</v>
      </c>
      <c r="B8" s="72" t="s">
        <v>135</v>
      </c>
      <c r="C8" s="72" t="s">
        <v>136</v>
      </c>
      <c r="D8" s="72" t="s">
        <v>53</v>
      </c>
      <c r="E8" s="72" t="s">
        <v>137</v>
      </c>
      <c r="F8" s="71" t="s">
        <v>133</v>
      </c>
      <c r="G8" s="71" t="s">
        <v>250</v>
      </c>
      <c r="H8" s="71" t="s">
        <v>249</v>
      </c>
    </row>
    <row r="9" spans="1:17" ht="18">
      <c r="A9" s="70" t="s">
        <v>248</v>
      </c>
      <c r="B9" s="70" t="s">
        <v>138</v>
      </c>
      <c r="C9" s="70" t="s">
        <v>252</v>
      </c>
      <c r="D9" s="69">
        <v>51700</v>
      </c>
      <c r="E9" s="69">
        <f>D9*1000000</f>
        <v>51700000000</v>
      </c>
      <c r="F9" s="69">
        <v>809845935</v>
      </c>
      <c r="G9" s="69">
        <v>23</v>
      </c>
      <c r="H9" s="68" t="s">
        <v>253</v>
      </c>
    </row>
    <row r="10" spans="1:17" ht="18.75" thickBot="1">
      <c r="A10" s="67"/>
      <c r="B10" s="67"/>
      <c r="C10" s="67"/>
      <c r="D10" s="66">
        <f>SUM(D9)</f>
        <v>51700</v>
      </c>
      <c r="E10" s="65">
        <f>SUM(E9)</f>
        <v>51700000000</v>
      </c>
      <c r="F10" s="65">
        <f>SUM(F9)</f>
        <v>809845935</v>
      </c>
      <c r="G10" s="64"/>
      <c r="H10" s="63"/>
    </row>
    <row r="11" spans="1:17" ht="15.75" thickTop="1"/>
    <row r="13" spans="1:17">
      <c r="G13" s="62"/>
    </row>
  </sheetData>
  <mergeCells count="4">
    <mergeCell ref="A1:H1"/>
    <mergeCell ref="A2:H2"/>
    <mergeCell ref="A3:H3"/>
    <mergeCell ref="A6:G6"/>
  </mergeCells>
  <pageMargins left="0.7" right="0.7" top="0.75" bottom="0.75" header="0.3" footer="0.3"/>
  <pageSetup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A47"/>
  <sheetViews>
    <sheetView rightToLeft="1" view="pageBreakPreview" topLeftCell="A28" zoomScaleNormal="100" zoomScaleSheetLayoutView="100" workbookViewId="0">
      <selection activeCell="E53" sqref="E53"/>
    </sheetView>
  </sheetViews>
  <sheetFormatPr defaultRowHeight="12.75"/>
  <cols>
    <col min="1" max="1" width="47.42578125" style="9" customWidth="1"/>
    <col min="2" max="2" width="1.28515625" style="9" customWidth="1"/>
    <col min="3" max="3" width="17.28515625" style="9" customWidth="1"/>
    <col min="4" max="4" width="1.28515625" style="9" customWidth="1"/>
    <col min="5" max="5" width="18.42578125" style="9" bestFit="1" customWidth="1"/>
    <col min="6" max="6" width="1.28515625" style="9" customWidth="1"/>
    <col min="7" max="7" width="18.5703125" style="9" bestFit="1" customWidth="1"/>
    <col min="8" max="8" width="1.28515625" style="9" customWidth="1"/>
    <col min="9" max="9" width="11.7109375" style="9" bestFit="1" customWidth="1"/>
    <col min="10" max="10" width="1.28515625" style="9" customWidth="1"/>
    <col min="11" max="11" width="16.7109375" style="9" bestFit="1" customWidth="1"/>
    <col min="12" max="12" width="1.28515625" style="9" customWidth="1"/>
    <col min="13" max="13" width="13.5703125" style="9" bestFit="1" customWidth="1"/>
    <col min="14" max="14" width="1.28515625" style="9" customWidth="1"/>
    <col min="15" max="15" width="16.85546875" style="9" bestFit="1" customWidth="1"/>
    <col min="16" max="16" width="1.28515625" style="9" customWidth="1"/>
    <col min="17" max="17" width="12.85546875" style="9" bestFit="1" customWidth="1"/>
    <col min="18" max="18" width="1.28515625" style="9" customWidth="1"/>
    <col min="19" max="19" width="16.28515625" style="9" bestFit="1" customWidth="1"/>
    <col min="20" max="20" width="1.28515625" style="9" customWidth="1"/>
    <col min="21" max="21" width="18.42578125" style="9" bestFit="1" customWidth="1"/>
    <col min="22" max="22" width="1.28515625" style="9" customWidth="1"/>
    <col min="23" max="23" width="18.5703125" style="9" bestFit="1" customWidth="1"/>
    <col min="24" max="24" width="1.28515625" style="9" customWidth="1"/>
    <col min="25" max="25" width="18.28515625" style="9" bestFit="1" customWidth="1"/>
    <col min="26" max="26" width="15.28515625" style="9" bestFit="1" customWidth="1"/>
    <col min="27" max="27" width="14" style="9" bestFit="1" customWidth="1"/>
    <col min="28" max="16384" width="9.140625" style="9"/>
  </cols>
  <sheetData>
    <row r="1" spans="1:27" ht="29.1" customHeight="1">
      <c r="A1" s="95" t="s">
        <v>261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</row>
    <row r="2" spans="1:27" ht="21.75" customHeight="1">
      <c r="A2" s="95" t="s">
        <v>1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</row>
    <row r="3" spans="1:27" ht="21.75" customHeight="1">
      <c r="A3" s="95" t="s">
        <v>265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</row>
    <row r="4" spans="1:27" ht="14.45" customHeight="1">
      <c r="A4" s="96" t="s">
        <v>189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</row>
    <row r="5" spans="1:27" ht="14.45" customHeight="1">
      <c r="A5" s="96" t="s">
        <v>190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</row>
    <row r="6" spans="1:27" ht="14.45" customHeight="1">
      <c r="C6" s="97" t="s">
        <v>255</v>
      </c>
      <c r="D6" s="97"/>
      <c r="E6" s="97"/>
      <c r="F6" s="97"/>
      <c r="G6" s="97"/>
      <c r="I6" s="97" t="s">
        <v>3</v>
      </c>
      <c r="J6" s="97"/>
      <c r="K6" s="97"/>
      <c r="L6" s="97"/>
      <c r="M6" s="97"/>
      <c r="N6" s="97"/>
      <c r="O6" s="97"/>
      <c r="Q6" s="97" t="s">
        <v>266</v>
      </c>
      <c r="R6" s="97"/>
      <c r="S6" s="97"/>
      <c r="T6" s="97"/>
      <c r="U6" s="97"/>
      <c r="V6" s="97"/>
      <c r="W6" s="97"/>
      <c r="X6" s="97"/>
      <c r="Y6" s="97"/>
    </row>
    <row r="7" spans="1:27" ht="14.45" customHeight="1">
      <c r="C7" s="10"/>
      <c r="D7" s="10"/>
      <c r="E7" s="10"/>
      <c r="F7" s="10"/>
      <c r="G7" s="10"/>
      <c r="I7" s="98" t="s">
        <v>5</v>
      </c>
      <c r="J7" s="98"/>
      <c r="K7" s="98"/>
      <c r="L7" s="10"/>
      <c r="M7" s="98" t="s">
        <v>6</v>
      </c>
      <c r="N7" s="98"/>
      <c r="O7" s="98"/>
      <c r="Q7" s="10"/>
      <c r="R7" s="10"/>
      <c r="S7" s="10"/>
      <c r="T7" s="10"/>
      <c r="U7" s="10"/>
      <c r="V7" s="10"/>
      <c r="W7" s="10"/>
      <c r="X7" s="10"/>
      <c r="Y7" s="10"/>
    </row>
    <row r="8" spans="1:27" ht="14.45" customHeight="1">
      <c r="A8" s="16" t="s">
        <v>7</v>
      </c>
      <c r="C8" s="47" t="s">
        <v>8</v>
      </c>
      <c r="E8" s="2" t="s">
        <v>9</v>
      </c>
      <c r="G8" s="2" t="s">
        <v>10</v>
      </c>
      <c r="I8" s="4" t="s">
        <v>8</v>
      </c>
      <c r="J8" s="10"/>
      <c r="K8" s="4" t="s">
        <v>9</v>
      </c>
      <c r="M8" s="4" t="s">
        <v>8</v>
      </c>
      <c r="N8" s="10"/>
      <c r="O8" s="4" t="s">
        <v>11</v>
      </c>
      <c r="Q8" s="2" t="s">
        <v>8</v>
      </c>
      <c r="S8" s="2" t="s">
        <v>12</v>
      </c>
      <c r="U8" s="2" t="s">
        <v>9</v>
      </c>
      <c r="W8" s="2" t="s">
        <v>10</v>
      </c>
      <c r="Y8" s="2" t="s">
        <v>13</v>
      </c>
    </row>
    <row r="9" spans="1:27" ht="21.75" customHeight="1">
      <c r="A9" s="15" t="s">
        <v>17</v>
      </c>
      <c r="C9" s="55">
        <v>400000</v>
      </c>
      <c r="D9" s="51"/>
      <c r="E9" s="55">
        <v>5080906785</v>
      </c>
      <c r="F9" s="51"/>
      <c r="G9" s="55">
        <v>3746811520</v>
      </c>
      <c r="H9" s="51"/>
      <c r="I9" s="56">
        <v>0</v>
      </c>
      <c r="J9" s="51"/>
      <c r="K9" s="56">
        <v>0</v>
      </c>
      <c r="L9" s="51"/>
      <c r="M9" s="56">
        <v>-400000</v>
      </c>
      <c r="N9" s="51"/>
      <c r="O9" s="56">
        <v>4393771574</v>
      </c>
      <c r="P9" s="25"/>
      <c r="Q9" s="56">
        <v>0</v>
      </c>
      <c r="R9" s="51"/>
      <c r="S9" s="56">
        <v>0</v>
      </c>
      <c r="T9" s="51"/>
      <c r="U9" s="56">
        <v>0</v>
      </c>
      <c r="W9" s="56">
        <v>0</v>
      </c>
      <c r="Y9" s="59">
        <f>W9/3037085912226*100</f>
        <v>0</v>
      </c>
      <c r="Z9" s="25"/>
      <c r="AA9" s="25"/>
    </row>
    <row r="10" spans="1:27" ht="21.75" customHeight="1">
      <c r="A10" s="14" t="s">
        <v>46</v>
      </c>
      <c r="C10" s="56">
        <v>402439</v>
      </c>
      <c r="D10" s="51"/>
      <c r="E10" s="56">
        <v>20840115815</v>
      </c>
      <c r="F10" s="51"/>
      <c r="G10" s="56">
        <v>22677845441</v>
      </c>
      <c r="H10" s="51"/>
      <c r="I10" s="56">
        <v>1500000</v>
      </c>
      <c r="J10" s="51"/>
      <c r="K10" s="56">
        <v>92293632247</v>
      </c>
      <c r="L10" s="51"/>
      <c r="M10" s="56">
        <v>-1000000</v>
      </c>
      <c r="N10" s="51"/>
      <c r="O10" s="56">
        <v>55271424062</v>
      </c>
      <c r="P10" s="25"/>
      <c r="Q10" s="56">
        <v>902439</v>
      </c>
      <c r="R10" s="51"/>
      <c r="S10" s="56">
        <v>55110</v>
      </c>
      <c r="T10" s="51"/>
      <c r="U10" s="56">
        <v>53666007944</v>
      </c>
      <c r="W10" s="56">
        <v>49348974005</v>
      </c>
      <c r="Y10" s="59">
        <f t="shared" ref="Y10:Y40" si="0">W10/3037085912226*100</f>
        <v>1.6248790923675316</v>
      </c>
      <c r="Z10" s="25"/>
      <c r="AA10" s="25"/>
    </row>
    <row r="11" spans="1:27" ht="21.75" customHeight="1">
      <c r="A11" s="14" t="s">
        <v>18</v>
      </c>
      <c r="C11" s="56">
        <v>32427214</v>
      </c>
      <c r="D11" s="51"/>
      <c r="E11" s="56">
        <v>84398021518</v>
      </c>
      <c r="F11" s="51"/>
      <c r="G11" s="56">
        <v>103254554199</v>
      </c>
      <c r="H11" s="51"/>
      <c r="I11" s="56">
        <v>0</v>
      </c>
      <c r="J11" s="51"/>
      <c r="K11" s="56">
        <v>0</v>
      </c>
      <c r="L11" s="51"/>
      <c r="M11" s="56">
        <v>0</v>
      </c>
      <c r="N11" s="51"/>
      <c r="O11" s="56">
        <v>0</v>
      </c>
      <c r="P11" s="25"/>
      <c r="Q11" s="56">
        <v>32427214</v>
      </c>
      <c r="R11" s="51"/>
      <c r="S11" s="56">
        <v>3990</v>
      </c>
      <c r="T11" s="51"/>
      <c r="U11" s="56">
        <v>84398021518</v>
      </c>
      <c r="W11" s="56">
        <v>128384441026</v>
      </c>
      <c r="Y11" s="59">
        <f t="shared" si="0"/>
        <v>4.2272245414322835</v>
      </c>
      <c r="Z11" s="25"/>
      <c r="AA11" s="25"/>
    </row>
    <row r="12" spans="1:27" ht="21.75" customHeight="1">
      <c r="A12" s="14" t="s">
        <v>19</v>
      </c>
      <c r="C12" s="56">
        <v>583616</v>
      </c>
      <c r="D12" s="51"/>
      <c r="E12" s="56">
        <v>120018673560</v>
      </c>
      <c r="F12" s="51"/>
      <c r="G12" s="56">
        <v>228786873411</v>
      </c>
      <c r="H12" s="51"/>
      <c r="I12" s="56">
        <v>0</v>
      </c>
      <c r="J12" s="51"/>
      <c r="K12" s="56">
        <v>0</v>
      </c>
      <c r="L12" s="51"/>
      <c r="M12" s="56">
        <v>-50000</v>
      </c>
      <c r="N12" s="51"/>
      <c r="O12" s="56">
        <v>26934176909</v>
      </c>
      <c r="P12" s="25"/>
      <c r="Q12" s="56">
        <v>533616</v>
      </c>
      <c r="R12" s="51"/>
      <c r="S12" s="56">
        <v>605930</v>
      </c>
      <c r="T12" s="51"/>
      <c r="U12" s="56">
        <v>109736341208</v>
      </c>
      <c r="W12" s="56">
        <v>320834571501</v>
      </c>
      <c r="Y12" s="59">
        <f t="shared" si="0"/>
        <v>10.563895153886104</v>
      </c>
      <c r="Z12" s="25"/>
      <c r="AA12" s="25"/>
    </row>
    <row r="13" spans="1:27" ht="21.75" customHeight="1">
      <c r="A13" s="14" t="s">
        <v>20</v>
      </c>
      <c r="C13" s="56">
        <v>7691921</v>
      </c>
      <c r="D13" s="51"/>
      <c r="E13" s="56">
        <v>84548742799</v>
      </c>
      <c r="F13" s="51"/>
      <c r="G13" s="56">
        <v>92200146404</v>
      </c>
      <c r="H13" s="51"/>
      <c r="I13" s="56">
        <v>848779</v>
      </c>
      <c r="J13" s="51"/>
      <c r="K13" s="56">
        <v>10837915563</v>
      </c>
      <c r="L13" s="51"/>
      <c r="M13" s="56">
        <v>-3800000</v>
      </c>
      <c r="N13" s="51"/>
      <c r="O13" s="56">
        <v>46616844765</v>
      </c>
      <c r="P13" s="25"/>
      <c r="Q13" s="56">
        <v>4740700</v>
      </c>
      <c r="R13" s="51"/>
      <c r="S13" s="56">
        <v>13420</v>
      </c>
      <c r="T13" s="51"/>
      <c r="U13" s="56">
        <v>52991229480</v>
      </c>
      <c r="W13" s="56">
        <v>63128409900</v>
      </c>
      <c r="Y13" s="59">
        <f t="shared" si="0"/>
        <v>2.0785849239849359</v>
      </c>
      <c r="Z13" s="25"/>
      <c r="AA13" s="25"/>
    </row>
    <row r="14" spans="1:27" ht="21.75" customHeight="1">
      <c r="A14" s="14" t="s">
        <v>268</v>
      </c>
      <c r="C14" s="56">
        <v>244767</v>
      </c>
      <c r="D14" s="51"/>
      <c r="E14" s="56">
        <v>45233548178</v>
      </c>
      <c r="F14" s="51"/>
      <c r="G14" s="56">
        <v>57044039762</v>
      </c>
      <c r="H14" s="51"/>
      <c r="I14" s="56">
        <v>384197</v>
      </c>
      <c r="J14" s="51"/>
      <c r="K14" s="56">
        <v>100934650073</v>
      </c>
      <c r="L14" s="51"/>
      <c r="M14" s="56">
        <v>-106626</v>
      </c>
      <c r="N14" s="51"/>
      <c r="O14" s="56">
        <v>27718209129</v>
      </c>
      <c r="P14" s="25"/>
      <c r="Q14" s="56">
        <v>522338</v>
      </c>
      <c r="R14" s="51"/>
      <c r="S14" s="56">
        <v>230610</v>
      </c>
      <c r="T14" s="51"/>
      <c r="U14" s="56">
        <v>121833514471</v>
      </c>
      <c r="W14" s="56">
        <v>119525238469</v>
      </c>
      <c r="Y14" s="59">
        <f t="shared" si="0"/>
        <v>3.9355237857395755</v>
      </c>
      <c r="Z14" s="25"/>
      <c r="AA14" s="25"/>
    </row>
    <row r="15" spans="1:27" ht="21.75" customHeight="1">
      <c r="A15" s="14" t="s">
        <v>23</v>
      </c>
      <c r="C15" s="56">
        <v>188131</v>
      </c>
      <c r="D15" s="51"/>
      <c r="E15" s="56">
        <v>16365289320</v>
      </c>
      <c r="F15" s="51"/>
      <c r="G15" s="56">
        <v>18479131222</v>
      </c>
      <c r="H15" s="51"/>
      <c r="I15" s="56">
        <v>0</v>
      </c>
      <c r="J15" s="51"/>
      <c r="K15" s="56">
        <v>0</v>
      </c>
      <c r="L15" s="51"/>
      <c r="M15" s="56">
        <v>-50000</v>
      </c>
      <c r="N15" s="51"/>
      <c r="O15" s="56">
        <v>6846166917</v>
      </c>
      <c r="P15" s="25"/>
      <c r="Q15" s="56">
        <v>138131</v>
      </c>
      <c r="R15" s="51"/>
      <c r="S15" s="56">
        <v>150770</v>
      </c>
      <c r="T15" s="51"/>
      <c r="U15" s="56">
        <v>12015849482</v>
      </c>
      <c r="W15" s="56">
        <v>20665025805</v>
      </c>
      <c r="Y15" s="59">
        <f t="shared" si="0"/>
        <v>0.68042282642751417</v>
      </c>
      <c r="Z15" s="25"/>
      <c r="AA15" s="25"/>
    </row>
    <row r="16" spans="1:27" ht="21.75" customHeight="1">
      <c r="A16" s="14" t="s">
        <v>21</v>
      </c>
      <c r="C16" s="56">
        <v>4783927</v>
      </c>
      <c r="D16" s="51"/>
      <c r="E16" s="56">
        <v>24391588427</v>
      </c>
      <c r="F16" s="51"/>
      <c r="G16" s="56">
        <v>28386744520</v>
      </c>
      <c r="H16" s="51"/>
      <c r="I16" s="56">
        <v>0</v>
      </c>
      <c r="J16" s="51"/>
      <c r="K16" s="56">
        <v>0</v>
      </c>
      <c r="L16" s="51"/>
      <c r="M16" s="56">
        <v>0</v>
      </c>
      <c r="N16" s="51"/>
      <c r="O16" s="56">
        <v>0</v>
      </c>
      <c r="P16" s="25"/>
      <c r="Q16" s="56">
        <v>4783927</v>
      </c>
      <c r="R16" s="51"/>
      <c r="S16" s="56">
        <v>6630</v>
      </c>
      <c r="T16" s="51"/>
      <c r="U16" s="56">
        <v>24391588427</v>
      </c>
      <c r="W16" s="56">
        <v>31472260229</v>
      </c>
      <c r="Y16" s="59">
        <f t="shared" si="0"/>
        <v>1.0362650625820704</v>
      </c>
      <c r="Z16" s="25"/>
      <c r="AA16" s="25"/>
    </row>
    <row r="17" spans="1:27" ht="21.75" customHeight="1">
      <c r="A17" s="14" t="s">
        <v>256</v>
      </c>
      <c r="C17" s="56">
        <v>51585</v>
      </c>
      <c r="D17" s="51"/>
      <c r="E17" s="56">
        <v>2829783697</v>
      </c>
      <c r="F17" s="51"/>
      <c r="G17" s="56">
        <v>3329665429</v>
      </c>
      <c r="H17" s="51"/>
      <c r="I17" s="56">
        <v>275000</v>
      </c>
      <c r="J17" s="51"/>
      <c r="K17" s="56">
        <v>18150571675</v>
      </c>
      <c r="L17" s="51"/>
      <c r="M17" s="56">
        <v>0</v>
      </c>
      <c r="N17" s="51"/>
      <c r="O17" s="56">
        <v>0</v>
      </c>
      <c r="P17" s="25"/>
      <c r="Q17" s="56">
        <v>326585</v>
      </c>
      <c r="R17" s="51"/>
      <c r="S17" s="56">
        <v>67150</v>
      </c>
      <c r="T17" s="51"/>
      <c r="U17" s="56">
        <v>20980355372</v>
      </c>
      <c r="W17" s="56">
        <v>21760662437</v>
      </c>
      <c r="Y17" s="59">
        <f t="shared" si="0"/>
        <v>0.7164980861885053</v>
      </c>
      <c r="Z17" s="25"/>
      <c r="AA17" s="25"/>
    </row>
    <row r="18" spans="1:27" ht="21.75" customHeight="1">
      <c r="A18" s="14" t="s">
        <v>22</v>
      </c>
      <c r="C18" s="56">
        <v>4456206</v>
      </c>
      <c r="D18" s="51"/>
      <c r="E18" s="56">
        <v>130347720404</v>
      </c>
      <c r="F18" s="51"/>
      <c r="G18" s="56">
        <v>227013134148</v>
      </c>
      <c r="H18" s="51"/>
      <c r="I18" s="56">
        <v>100000</v>
      </c>
      <c r="J18" s="51"/>
      <c r="K18" s="56">
        <v>6537369262</v>
      </c>
      <c r="L18" s="51"/>
      <c r="M18" s="56">
        <v>-200000</v>
      </c>
      <c r="N18" s="51"/>
      <c r="O18" s="56">
        <v>11049918761</v>
      </c>
      <c r="P18" s="25"/>
      <c r="Q18" s="56">
        <v>4356206</v>
      </c>
      <c r="R18" s="51"/>
      <c r="S18" s="56">
        <v>60690</v>
      </c>
      <c r="T18" s="51"/>
      <c r="U18" s="56">
        <v>131034923833</v>
      </c>
      <c r="W18" s="56">
        <v>262334499101</v>
      </c>
      <c r="Y18" s="59">
        <f t="shared" si="0"/>
        <v>8.6377042560750183</v>
      </c>
      <c r="Z18" s="25"/>
      <c r="AA18" s="25"/>
    </row>
    <row r="19" spans="1:27" ht="21.75" customHeight="1">
      <c r="A19" s="14" t="s">
        <v>24</v>
      </c>
      <c r="C19" s="56">
        <v>1219446</v>
      </c>
      <c r="D19" s="51"/>
      <c r="E19" s="56">
        <v>27708055951</v>
      </c>
      <c r="F19" s="51"/>
      <c r="G19" s="56">
        <v>54475086102</v>
      </c>
      <c r="H19" s="51"/>
      <c r="I19" s="56">
        <v>0</v>
      </c>
      <c r="J19" s="51"/>
      <c r="K19" s="56">
        <v>0</v>
      </c>
      <c r="L19" s="51"/>
      <c r="M19" s="56">
        <v>0</v>
      </c>
      <c r="N19" s="51"/>
      <c r="O19" s="56">
        <v>0</v>
      </c>
      <c r="P19" s="25"/>
      <c r="Q19" s="56">
        <v>1219446</v>
      </c>
      <c r="R19" s="51"/>
      <c r="S19" s="56">
        <v>68910</v>
      </c>
      <c r="T19" s="51"/>
      <c r="U19" s="56">
        <v>27708055951</v>
      </c>
      <c r="W19" s="56">
        <v>83382456315</v>
      </c>
      <c r="Y19" s="59">
        <f t="shared" si="0"/>
        <v>2.7454757199767759</v>
      </c>
      <c r="Z19" s="25"/>
      <c r="AA19" s="25"/>
    </row>
    <row r="20" spans="1:27" ht="21.75" customHeight="1">
      <c r="A20" s="14" t="s">
        <v>25</v>
      </c>
      <c r="C20" s="56">
        <v>1686457</v>
      </c>
      <c r="D20" s="51"/>
      <c r="E20" s="56">
        <v>51262606043</v>
      </c>
      <c r="F20" s="51"/>
      <c r="G20" s="56">
        <v>67020498529</v>
      </c>
      <c r="H20" s="51"/>
      <c r="I20" s="56">
        <v>453711</v>
      </c>
      <c r="J20" s="51"/>
      <c r="K20" s="56">
        <v>18833771823</v>
      </c>
      <c r="L20" s="51"/>
      <c r="M20" s="56">
        <v>0</v>
      </c>
      <c r="N20" s="51"/>
      <c r="O20" s="56">
        <v>0</v>
      </c>
      <c r="P20" s="25"/>
      <c r="Q20" s="56">
        <v>2140168</v>
      </c>
      <c r="R20" s="51"/>
      <c r="S20" s="56">
        <v>47550</v>
      </c>
      <c r="T20" s="51"/>
      <c r="U20" s="56">
        <v>70096377866</v>
      </c>
      <c r="W20" s="56">
        <v>100978345039</v>
      </c>
      <c r="Y20" s="59">
        <f t="shared" si="0"/>
        <v>3.3248432200256395</v>
      </c>
      <c r="Z20" s="25"/>
      <c r="AA20" s="25"/>
    </row>
    <row r="21" spans="1:27" ht="21.75" customHeight="1">
      <c r="A21" s="14" t="s">
        <v>28</v>
      </c>
      <c r="C21" s="56">
        <v>2718545</v>
      </c>
      <c r="D21" s="51"/>
      <c r="E21" s="56">
        <v>20111228585</v>
      </c>
      <c r="F21" s="51"/>
      <c r="G21" s="56">
        <v>22686232742</v>
      </c>
      <c r="H21" s="51"/>
      <c r="I21" s="56">
        <v>0</v>
      </c>
      <c r="J21" s="51"/>
      <c r="K21" s="56">
        <v>0</v>
      </c>
      <c r="L21" s="51"/>
      <c r="M21" s="56">
        <v>0</v>
      </c>
      <c r="N21" s="51"/>
      <c r="O21" s="56">
        <v>0</v>
      </c>
      <c r="P21" s="25"/>
      <c r="Q21" s="56">
        <v>2718545</v>
      </c>
      <c r="R21" s="51"/>
      <c r="S21" s="56">
        <v>8950</v>
      </c>
      <c r="T21" s="51"/>
      <c r="U21" s="56">
        <v>20111228585</v>
      </c>
      <c r="W21" s="56">
        <v>24142899291</v>
      </c>
      <c r="Y21" s="59">
        <f>W21/3037085912226*100</f>
        <v>0.79493633004621578</v>
      </c>
      <c r="Z21" s="25"/>
      <c r="AA21" s="25"/>
    </row>
    <row r="22" spans="1:27" ht="21.75" customHeight="1">
      <c r="A22" s="14" t="s">
        <v>26</v>
      </c>
      <c r="C22" s="56">
        <v>4235165</v>
      </c>
      <c r="D22" s="51"/>
      <c r="E22" s="56">
        <v>49018097555</v>
      </c>
      <c r="F22" s="51"/>
      <c r="G22" s="56">
        <v>63708795966</v>
      </c>
      <c r="H22" s="51"/>
      <c r="I22" s="56">
        <v>0</v>
      </c>
      <c r="J22" s="51"/>
      <c r="K22" s="56">
        <v>0</v>
      </c>
      <c r="L22" s="51"/>
      <c r="M22" s="56">
        <v>-300000</v>
      </c>
      <c r="N22" s="51"/>
      <c r="O22" s="56">
        <v>5502137206</v>
      </c>
      <c r="P22" s="25"/>
      <c r="Q22" s="56">
        <v>3935165</v>
      </c>
      <c r="R22" s="51"/>
      <c r="S22" s="56">
        <v>19540</v>
      </c>
      <c r="T22" s="51"/>
      <c r="U22" s="56">
        <v>45545876459</v>
      </c>
      <c r="W22" s="56">
        <v>76298740250</v>
      </c>
      <c r="Y22" s="59">
        <f t="shared" si="0"/>
        <v>2.5122351640713925</v>
      </c>
      <c r="Z22" s="25"/>
      <c r="AA22" s="25"/>
    </row>
    <row r="23" spans="1:27" ht="21.75" customHeight="1">
      <c r="A23" s="14" t="s">
        <v>27</v>
      </c>
      <c r="C23" s="56">
        <v>1600000</v>
      </c>
      <c r="D23" s="51"/>
      <c r="E23" s="56">
        <v>4831452247</v>
      </c>
      <c r="F23" s="51"/>
      <c r="G23" s="56">
        <v>4096090560</v>
      </c>
      <c r="H23" s="51"/>
      <c r="I23" s="56">
        <v>0</v>
      </c>
      <c r="J23" s="51"/>
      <c r="K23" s="56">
        <v>0</v>
      </c>
      <c r="L23" s="51"/>
      <c r="M23" s="56">
        <v>0</v>
      </c>
      <c r="N23" s="51"/>
      <c r="O23" s="56">
        <v>0</v>
      </c>
      <c r="P23" s="25"/>
      <c r="Q23" s="56">
        <v>1600000</v>
      </c>
      <c r="R23" s="51"/>
      <c r="S23" s="56">
        <v>2597</v>
      </c>
      <c r="T23" s="51"/>
      <c r="U23" s="56">
        <v>4831452247</v>
      </c>
      <c r="W23" s="56">
        <v>4123080304</v>
      </c>
      <c r="Y23" s="59">
        <f t="shared" si="0"/>
        <v>0.13575777647258033</v>
      </c>
      <c r="Z23" s="25"/>
      <c r="AA23" s="25"/>
    </row>
    <row r="24" spans="1:27" ht="21.75" customHeight="1">
      <c r="A24" s="14" t="s">
        <v>29</v>
      </c>
      <c r="C24" s="56">
        <v>375619</v>
      </c>
      <c r="D24" s="51"/>
      <c r="E24" s="56">
        <v>1457014160</v>
      </c>
      <c r="F24" s="51"/>
      <c r="G24" s="56">
        <v>2005209202</v>
      </c>
      <c r="H24" s="51"/>
      <c r="I24" s="56">
        <v>0</v>
      </c>
      <c r="J24" s="51"/>
      <c r="K24" s="56">
        <v>0</v>
      </c>
      <c r="L24" s="51"/>
      <c r="M24" s="56">
        <v>0</v>
      </c>
      <c r="N24" s="51"/>
      <c r="O24" s="56">
        <v>0</v>
      </c>
      <c r="P24" s="25"/>
      <c r="Q24" s="56">
        <v>375619</v>
      </c>
      <c r="R24" s="51"/>
      <c r="S24" s="56">
        <v>5270</v>
      </c>
      <c r="T24" s="51"/>
      <c r="U24" s="56">
        <v>1457014160</v>
      </c>
      <c r="W24" s="56">
        <v>1964210501</v>
      </c>
      <c r="Y24" s="59">
        <f t="shared" si="0"/>
        <v>6.4674183008552197E-2</v>
      </c>
      <c r="Z24" s="25"/>
      <c r="AA24" s="25"/>
    </row>
    <row r="25" spans="1:27" ht="21.75" customHeight="1">
      <c r="A25" s="14" t="s">
        <v>30</v>
      </c>
      <c r="C25" s="56">
        <v>7019397</v>
      </c>
      <c r="D25" s="51"/>
      <c r="E25" s="56">
        <v>122437945011</v>
      </c>
      <c r="F25" s="51"/>
      <c r="G25" s="56">
        <v>152815107122</v>
      </c>
      <c r="H25" s="51"/>
      <c r="I25" s="56">
        <v>207172</v>
      </c>
      <c r="J25" s="51"/>
      <c r="K25" s="56">
        <v>4973779685</v>
      </c>
      <c r="L25" s="51"/>
      <c r="M25" s="56">
        <v>-200000</v>
      </c>
      <c r="N25" s="51"/>
      <c r="O25" s="56">
        <v>4635885456</v>
      </c>
      <c r="P25" s="25"/>
      <c r="Q25" s="56">
        <v>7026569</v>
      </c>
      <c r="R25" s="51"/>
      <c r="S25" s="56">
        <v>27370</v>
      </c>
      <c r="T25" s="51"/>
      <c r="U25" s="56">
        <v>123909597348</v>
      </c>
      <c r="W25" s="56">
        <v>190830581624</v>
      </c>
      <c r="Y25" s="59">
        <f t="shared" si="0"/>
        <v>6.2833448621192529</v>
      </c>
      <c r="Z25" s="25"/>
      <c r="AA25" s="25"/>
    </row>
    <row r="26" spans="1:27" ht="21.75" customHeight="1">
      <c r="A26" s="14" t="s">
        <v>45</v>
      </c>
      <c r="C26" s="56">
        <v>562500</v>
      </c>
      <c r="D26" s="51"/>
      <c r="E26" s="56">
        <v>5067096750</v>
      </c>
      <c r="F26" s="51"/>
      <c r="G26" s="56">
        <v>5542448118</v>
      </c>
      <c r="H26" s="51"/>
      <c r="I26" s="56">
        <v>0</v>
      </c>
      <c r="J26" s="51"/>
      <c r="K26" s="56">
        <v>0</v>
      </c>
      <c r="L26" s="51"/>
      <c r="M26" s="56">
        <v>0</v>
      </c>
      <c r="N26" s="51"/>
      <c r="O26" s="56">
        <v>0</v>
      </c>
      <c r="P26" s="25"/>
      <c r="Q26" s="56">
        <v>562500</v>
      </c>
      <c r="R26" s="51"/>
      <c r="S26" s="56">
        <v>9850</v>
      </c>
      <c r="T26" s="51"/>
      <c r="U26" s="56">
        <v>5067096750</v>
      </c>
      <c r="W26" s="56">
        <v>5497795968</v>
      </c>
      <c r="Y26" s="59">
        <f t="shared" si="0"/>
        <v>0.18102207599291942</v>
      </c>
      <c r="Z26" s="25"/>
      <c r="AA26" s="25"/>
    </row>
    <row r="27" spans="1:27" ht="21.75" customHeight="1">
      <c r="A27" s="14" t="s">
        <v>32</v>
      </c>
      <c r="C27" s="56">
        <v>600000</v>
      </c>
      <c r="D27" s="51"/>
      <c r="E27" s="56">
        <v>18614257964</v>
      </c>
      <c r="F27" s="51"/>
      <c r="G27" s="56">
        <v>27845080740</v>
      </c>
      <c r="H27" s="51"/>
      <c r="I27" s="56">
        <v>100000</v>
      </c>
      <c r="J27" s="51"/>
      <c r="K27" s="56">
        <v>4916061571</v>
      </c>
      <c r="L27" s="51"/>
      <c r="M27" s="56">
        <v>-500000</v>
      </c>
      <c r="N27" s="51"/>
      <c r="O27" s="56">
        <v>24347329059</v>
      </c>
      <c r="P27" s="25"/>
      <c r="Q27" s="56">
        <v>200000</v>
      </c>
      <c r="R27" s="51"/>
      <c r="S27" s="56">
        <v>47590</v>
      </c>
      <c r="T27" s="51"/>
      <c r="U27" s="56">
        <v>6722948439</v>
      </c>
      <c r="W27" s="56">
        <v>9444425860</v>
      </c>
      <c r="Y27" s="59">
        <f t="shared" si="0"/>
        <v>0.31096999337360887</v>
      </c>
      <c r="Z27" s="25"/>
      <c r="AA27" s="25"/>
    </row>
    <row r="28" spans="1:27" ht="21.75" customHeight="1">
      <c r="A28" s="14" t="s">
        <v>33</v>
      </c>
      <c r="C28" s="56">
        <v>69692321</v>
      </c>
      <c r="D28" s="51"/>
      <c r="E28" s="56">
        <v>577376778925</v>
      </c>
      <c r="F28" s="51"/>
      <c r="G28" s="56">
        <v>721272041310</v>
      </c>
      <c r="H28" s="51"/>
      <c r="I28" s="56">
        <v>0</v>
      </c>
      <c r="J28" s="51"/>
      <c r="K28" s="56">
        <v>0</v>
      </c>
      <c r="L28" s="51"/>
      <c r="M28" s="56">
        <v>-11890253</v>
      </c>
      <c r="N28" s="51"/>
      <c r="O28" s="56">
        <v>146009383268</v>
      </c>
      <c r="P28" s="25"/>
      <c r="Q28" s="56">
        <v>57802068</v>
      </c>
      <c r="R28" s="51"/>
      <c r="S28" s="56">
        <v>13390</v>
      </c>
      <c r="T28" s="51"/>
      <c r="U28" s="56">
        <v>478870144652</v>
      </c>
      <c r="W28" s="56">
        <v>767986904812</v>
      </c>
      <c r="Y28" s="59">
        <f t="shared" si="0"/>
        <v>25.286966750608386</v>
      </c>
      <c r="Z28" s="25"/>
      <c r="AA28" s="25"/>
    </row>
    <row r="29" spans="1:27" ht="21.75" customHeight="1">
      <c r="A29" s="14" t="s">
        <v>34</v>
      </c>
      <c r="C29" s="56">
        <v>1000000</v>
      </c>
      <c r="D29" s="51"/>
      <c r="E29" s="56">
        <v>14585231339</v>
      </c>
      <c r="F29" s="51"/>
      <c r="G29" s="56">
        <v>9128884000</v>
      </c>
      <c r="H29" s="51"/>
      <c r="I29" s="56">
        <v>0</v>
      </c>
      <c r="J29" s="51"/>
      <c r="K29" s="56">
        <v>0</v>
      </c>
      <c r="L29" s="51"/>
      <c r="M29" s="56">
        <v>-1000000</v>
      </c>
      <c r="N29" s="51"/>
      <c r="O29" s="56">
        <v>10664917998</v>
      </c>
      <c r="P29" s="25"/>
      <c r="Q29" s="56">
        <v>0</v>
      </c>
      <c r="R29" s="51"/>
      <c r="S29" s="56">
        <v>0</v>
      </c>
      <c r="T29" s="51"/>
      <c r="U29" s="56">
        <v>0</v>
      </c>
      <c r="W29" s="56">
        <v>0</v>
      </c>
      <c r="Y29" s="59">
        <f t="shared" si="0"/>
        <v>0</v>
      </c>
      <c r="Z29" s="25"/>
      <c r="AA29" s="25"/>
    </row>
    <row r="30" spans="1:27" ht="21.75" customHeight="1">
      <c r="A30" s="14" t="s">
        <v>35</v>
      </c>
      <c r="C30" s="56">
        <v>16212437</v>
      </c>
      <c r="D30" s="51"/>
      <c r="E30" s="56">
        <v>34968587102</v>
      </c>
      <c r="F30" s="51"/>
      <c r="G30" s="56">
        <v>59425802300</v>
      </c>
      <c r="H30" s="51"/>
      <c r="I30" s="56">
        <v>2400000</v>
      </c>
      <c r="J30" s="51"/>
      <c r="K30" s="56">
        <v>9168176689</v>
      </c>
      <c r="L30" s="51"/>
      <c r="M30" s="56">
        <v>0</v>
      </c>
      <c r="N30" s="51"/>
      <c r="O30" s="56">
        <v>0</v>
      </c>
      <c r="P30" s="25"/>
      <c r="Q30" s="56">
        <v>18612437</v>
      </c>
      <c r="R30" s="51"/>
      <c r="S30" s="56">
        <v>3663</v>
      </c>
      <c r="T30" s="51"/>
      <c r="U30" s="56">
        <v>44136763791</v>
      </c>
      <c r="W30" s="56">
        <v>67650345763</v>
      </c>
      <c r="Y30" s="59">
        <f t="shared" si="0"/>
        <v>2.2274755380040072</v>
      </c>
      <c r="Z30" s="25"/>
      <c r="AA30" s="25"/>
    </row>
    <row r="31" spans="1:27" ht="21.75" customHeight="1">
      <c r="A31" s="14" t="s">
        <v>43</v>
      </c>
      <c r="C31" s="56">
        <v>1761676</v>
      </c>
      <c r="D31" s="51"/>
      <c r="E31" s="56">
        <v>15412654051</v>
      </c>
      <c r="F31" s="51"/>
      <c r="G31" s="56">
        <v>13110436833</v>
      </c>
      <c r="H31" s="51"/>
      <c r="I31" s="56">
        <v>0</v>
      </c>
      <c r="J31" s="51"/>
      <c r="K31" s="56">
        <v>0</v>
      </c>
      <c r="L31" s="51"/>
      <c r="M31" s="56">
        <v>0</v>
      </c>
      <c r="N31" s="51"/>
      <c r="O31" s="56">
        <v>0</v>
      </c>
      <c r="P31" s="25"/>
      <c r="Q31" s="56">
        <v>1761676</v>
      </c>
      <c r="R31" s="51"/>
      <c r="S31" s="56">
        <v>7400</v>
      </c>
      <c r="T31" s="51"/>
      <c r="U31" s="56">
        <v>15412654051</v>
      </c>
      <c r="W31" s="56">
        <v>12935631009</v>
      </c>
      <c r="Y31" s="59">
        <f t="shared" si="0"/>
        <v>0.42592245931953132</v>
      </c>
      <c r="Z31" s="25"/>
      <c r="AA31" s="25"/>
    </row>
    <row r="32" spans="1:27" ht="21.75" customHeight="1">
      <c r="A32" s="14" t="s">
        <v>44</v>
      </c>
      <c r="C32" s="56">
        <v>13722626</v>
      </c>
      <c r="D32" s="51"/>
      <c r="E32" s="56">
        <v>61291859110</v>
      </c>
      <c r="F32" s="51"/>
      <c r="G32" s="56">
        <v>100353974244</v>
      </c>
      <c r="H32" s="51"/>
      <c r="I32" s="56">
        <v>0</v>
      </c>
      <c r="J32" s="51"/>
      <c r="K32" s="56">
        <v>0</v>
      </c>
      <c r="L32" s="51"/>
      <c r="M32" s="56">
        <v>-4789630</v>
      </c>
      <c r="N32" s="51"/>
      <c r="O32" s="56">
        <v>37153781930</v>
      </c>
      <c r="P32" s="25"/>
      <c r="Q32" s="56">
        <v>8932996</v>
      </c>
      <c r="R32" s="51"/>
      <c r="S32" s="56">
        <v>8040</v>
      </c>
      <c r="T32" s="51"/>
      <c r="U32" s="56">
        <v>39899063941</v>
      </c>
      <c r="W32" s="56">
        <v>71266109284</v>
      </c>
      <c r="Y32" s="59">
        <f t="shared" si="0"/>
        <v>2.3465292501971491</v>
      </c>
      <c r="Z32" s="25"/>
      <c r="AA32" s="25"/>
    </row>
    <row r="33" spans="1:27" ht="21.75" customHeight="1">
      <c r="A33" s="14" t="s">
        <v>36</v>
      </c>
      <c r="C33" s="56">
        <v>33355535</v>
      </c>
      <c r="D33" s="51"/>
      <c r="E33" s="56">
        <v>64162142976</v>
      </c>
      <c r="F33" s="51"/>
      <c r="G33" s="56">
        <v>62819428364</v>
      </c>
      <c r="H33" s="51"/>
      <c r="I33" s="56">
        <v>4400000</v>
      </c>
      <c r="J33" s="51"/>
      <c r="K33" s="56">
        <v>8740823626</v>
      </c>
      <c r="L33" s="51"/>
      <c r="M33" s="56">
        <v>0</v>
      </c>
      <c r="N33" s="51"/>
      <c r="O33" s="56">
        <v>0</v>
      </c>
      <c r="P33" s="25"/>
      <c r="Q33" s="56">
        <v>37755535</v>
      </c>
      <c r="R33" s="51"/>
      <c r="S33" s="56">
        <v>2041</v>
      </c>
      <c r="T33" s="51"/>
      <c r="U33" s="56">
        <v>72902966602</v>
      </c>
      <c r="W33" s="56">
        <v>76463380502</v>
      </c>
      <c r="Y33" s="59">
        <f t="shared" si="0"/>
        <v>2.5176561582993537</v>
      </c>
      <c r="Z33" s="25"/>
      <c r="AA33" s="25"/>
    </row>
    <row r="34" spans="1:27" ht="21.75" customHeight="1">
      <c r="A34" s="14" t="s">
        <v>267</v>
      </c>
      <c r="C34" s="56">
        <v>0</v>
      </c>
      <c r="D34" s="51"/>
      <c r="E34" s="56">
        <v>0</v>
      </c>
      <c r="F34" s="51"/>
      <c r="G34" s="56">
        <v>0</v>
      </c>
      <c r="H34" s="51"/>
      <c r="I34" s="56">
        <v>750000</v>
      </c>
      <c r="J34" s="51"/>
      <c r="K34" s="56">
        <v>6166260600</v>
      </c>
      <c r="L34" s="51"/>
      <c r="M34" s="56">
        <v>0</v>
      </c>
      <c r="N34" s="51"/>
      <c r="O34" s="56">
        <v>0</v>
      </c>
      <c r="P34" s="25"/>
      <c r="Q34" s="56">
        <v>750000</v>
      </c>
      <c r="R34" s="51"/>
      <c r="S34" s="56">
        <v>11490</v>
      </c>
      <c r="T34" s="51"/>
      <c r="U34" s="56">
        <v>6166260600</v>
      </c>
      <c r="W34" s="56">
        <v>8550886725</v>
      </c>
      <c r="Y34" s="59">
        <f t="shared" si="0"/>
        <v>0.28154905630353794</v>
      </c>
      <c r="Z34" s="25"/>
      <c r="AA34" s="25"/>
    </row>
    <row r="35" spans="1:27" ht="21.75" customHeight="1">
      <c r="A35" s="14" t="s">
        <v>37</v>
      </c>
      <c r="C35" s="56">
        <v>3376595</v>
      </c>
      <c r="D35" s="51"/>
      <c r="E35" s="56">
        <v>206922695717</v>
      </c>
      <c r="F35" s="51"/>
      <c r="G35" s="56">
        <v>281340974516</v>
      </c>
      <c r="H35" s="51"/>
      <c r="I35" s="56">
        <v>7053190</v>
      </c>
      <c r="J35" s="51"/>
      <c r="K35" s="56">
        <v>8645971664</v>
      </c>
      <c r="L35" s="51"/>
      <c r="M35" s="56">
        <v>0</v>
      </c>
      <c r="N35" s="51"/>
      <c r="O35" s="56">
        <v>0</v>
      </c>
      <c r="P35" s="25"/>
      <c r="Q35" s="56">
        <v>10429785</v>
      </c>
      <c r="R35" s="51"/>
      <c r="S35" s="56">
        <v>25630</v>
      </c>
      <c r="T35" s="51"/>
      <c r="U35" s="56">
        <v>215568667381</v>
      </c>
      <c r="W35" s="56">
        <v>265249041588</v>
      </c>
      <c r="Y35" s="59">
        <f t="shared" si="0"/>
        <v>8.7336693545685211</v>
      </c>
      <c r="Z35" s="25"/>
      <c r="AA35" s="25"/>
    </row>
    <row r="36" spans="1:27" ht="21.75" customHeight="1">
      <c r="A36" s="14" t="s">
        <v>38</v>
      </c>
      <c r="C36" s="56">
        <v>9028591</v>
      </c>
      <c r="D36" s="51"/>
      <c r="E36" s="56">
        <v>27577761827</v>
      </c>
      <c r="F36" s="51"/>
      <c r="G36" s="56">
        <v>31714151970</v>
      </c>
      <c r="H36" s="51"/>
      <c r="I36" s="56">
        <v>0</v>
      </c>
      <c r="J36" s="51"/>
      <c r="K36" s="56">
        <v>0</v>
      </c>
      <c r="L36" s="51"/>
      <c r="M36" s="56">
        <v>-400000</v>
      </c>
      <c r="N36" s="51"/>
      <c r="O36" s="56">
        <v>1341152219</v>
      </c>
      <c r="P36" s="25"/>
      <c r="Q36" s="56">
        <v>8628591</v>
      </c>
      <c r="R36" s="51"/>
      <c r="S36" s="56">
        <v>3599</v>
      </c>
      <c r="T36" s="51"/>
      <c r="U36" s="56">
        <v>26355964900</v>
      </c>
      <c r="W36" s="56">
        <v>30814249277</v>
      </c>
      <c r="Y36" s="59">
        <f t="shared" si="0"/>
        <v>1.0145991969787584</v>
      </c>
      <c r="Z36" s="25"/>
      <c r="AA36" s="25"/>
    </row>
    <row r="37" spans="1:27" ht="21.75" customHeight="1">
      <c r="A37" s="14" t="s">
        <v>39</v>
      </c>
      <c r="C37" s="56">
        <v>392907</v>
      </c>
      <c r="D37" s="51"/>
      <c r="E37" s="56">
        <v>6528136794</v>
      </c>
      <c r="F37" s="51"/>
      <c r="G37" s="56">
        <v>10007958507</v>
      </c>
      <c r="H37" s="51"/>
      <c r="I37" s="56">
        <v>0</v>
      </c>
      <c r="J37" s="51"/>
      <c r="K37" s="56">
        <v>0</v>
      </c>
      <c r="L37" s="51"/>
      <c r="M37" s="56">
        <v>0</v>
      </c>
      <c r="N37" s="51"/>
      <c r="O37" s="56">
        <v>0</v>
      </c>
      <c r="P37" s="25"/>
      <c r="Q37" s="56">
        <v>392907</v>
      </c>
      <c r="R37" s="51"/>
      <c r="S37" s="56">
        <v>26040</v>
      </c>
      <c r="T37" s="51"/>
      <c r="U37" s="56">
        <v>6528136794</v>
      </c>
      <c r="W37" s="56">
        <v>10152210344</v>
      </c>
      <c r="Y37" s="59">
        <f t="shared" si="0"/>
        <v>0.33427471719293728</v>
      </c>
      <c r="Z37" s="25"/>
      <c r="AA37" s="25"/>
    </row>
    <row r="38" spans="1:27" ht="21.75" customHeight="1">
      <c r="A38" s="14" t="s">
        <v>40</v>
      </c>
      <c r="C38" s="56">
        <v>1000000</v>
      </c>
      <c r="D38" s="51"/>
      <c r="E38" s="56">
        <v>15637068113</v>
      </c>
      <c r="F38" s="51"/>
      <c r="G38" s="56">
        <v>19696559500</v>
      </c>
      <c r="H38" s="51"/>
      <c r="I38" s="56">
        <v>200000</v>
      </c>
      <c r="J38" s="51"/>
      <c r="K38" s="56">
        <v>4020682611</v>
      </c>
      <c r="L38" s="51"/>
      <c r="M38" s="56">
        <v>0</v>
      </c>
      <c r="N38" s="51"/>
      <c r="O38" s="56">
        <v>0</v>
      </c>
      <c r="P38" s="25"/>
      <c r="Q38" s="56">
        <v>1200000</v>
      </c>
      <c r="R38" s="51"/>
      <c r="S38" s="56">
        <v>19670</v>
      </c>
      <c r="T38" s="51"/>
      <c r="U38" s="56">
        <v>19657750724</v>
      </c>
      <c r="W38" s="56">
        <v>23421541080</v>
      </c>
      <c r="Y38" s="59">
        <f t="shared" si="0"/>
        <v>0.77118467362793275</v>
      </c>
      <c r="Z38" s="25"/>
      <c r="AA38" s="25"/>
    </row>
    <row r="39" spans="1:27" ht="21.75" customHeight="1">
      <c r="A39" s="14" t="s">
        <v>41</v>
      </c>
      <c r="C39" s="56">
        <v>15280429</v>
      </c>
      <c r="D39" s="51"/>
      <c r="E39" s="56">
        <v>75356516261</v>
      </c>
      <c r="F39" s="51"/>
      <c r="G39" s="56">
        <v>66501897290</v>
      </c>
      <c r="H39" s="51"/>
      <c r="I39" s="56">
        <v>0</v>
      </c>
      <c r="J39" s="51"/>
      <c r="K39" s="56">
        <v>0</v>
      </c>
      <c r="L39" s="51"/>
      <c r="M39" s="56">
        <v>-6173931</v>
      </c>
      <c r="N39" s="51"/>
      <c r="O39" s="56">
        <v>29246716186</v>
      </c>
      <c r="P39" s="25"/>
      <c r="Q39" s="56">
        <v>9106498</v>
      </c>
      <c r="R39" s="51"/>
      <c r="S39" s="56">
        <v>4830</v>
      </c>
      <c r="T39" s="51"/>
      <c r="U39" s="56">
        <v>44909338909</v>
      </c>
      <c r="W39" s="56">
        <v>43644386041</v>
      </c>
      <c r="Y39" s="59">
        <f t="shared" si="0"/>
        <v>1.4370481212041615</v>
      </c>
      <c r="Z39" s="25"/>
      <c r="AA39" s="25"/>
    </row>
    <row r="40" spans="1:27" ht="21.75" customHeight="1">
      <c r="A40" s="14" t="s">
        <v>42</v>
      </c>
      <c r="C40" s="57">
        <v>1243418</v>
      </c>
      <c r="D40" s="51"/>
      <c r="E40" s="57">
        <v>12442280904</v>
      </c>
      <c r="F40" s="51"/>
      <c r="G40" s="57">
        <v>18581124065</v>
      </c>
      <c r="H40" s="51"/>
      <c r="I40" s="56">
        <v>0</v>
      </c>
      <c r="J40" s="51"/>
      <c r="K40" s="56">
        <v>0</v>
      </c>
      <c r="L40" s="51"/>
      <c r="M40" s="56">
        <v>-200000</v>
      </c>
      <c r="N40" s="51"/>
      <c r="O40" s="56">
        <v>3224877538</v>
      </c>
      <c r="P40" s="25"/>
      <c r="Q40" s="56">
        <v>1043418</v>
      </c>
      <c r="R40" s="51"/>
      <c r="S40" s="56">
        <v>16700</v>
      </c>
      <c r="T40" s="51"/>
      <c r="U40" s="56">
        <v>10440977897</v>
      </c>
      <c r="W40" s="56">
        <v>17290384726</v>
      </c>
      <c r="Y40" s="59">
        <f t="shared" si="0"/>
        <v>0.56930838394779537</v>
      </c>
      <c r="Z40" s="25"/>
      <c r="AA40" s="25"/>
    </row>
    <row r="41" spans="1:27" ht="21.75" customHeight="1" thickBot="1">
      <c r="A41" s="22"/>
      <c r="B41" s="22"/>
      <c r="C41" s="54">
        <f>SUM(C9:C40)</f>
        <v>237313470</v>
      </c>
      <c r="D41" s="25"/>
      <c r="E41" s="27">
        <f>SUM(E9:E40)</f>
        <v>1946823857888</v>
      </c>
      <c r="F41" s="25"/>
      <c r="G41" s="27">
        <f>SUM(G9:G40)</f>
        <v>2579066728036</v>
      </c>
      <c r="H41" s="25"/>
      <c r="I41" s="27">
        <f>SUM(I9:I40)</f>
        <v>18672049</v>
      </c>
      <c r="J41" s="25"/>
      <c r="K41" s="27">
        <f>SUM(K9:K40)</f>
        <v>294219667089</v>
      </c>
      <c r="L41" s="25"/>
      <c r="M41" s="27">
        <f>SUM(M9:M40)</f>
        <v>-31060440</v>
      </c>
      <c r="N41" s="25"/>
      <c r="O41" s="27">
        <f>SUM(O9:O40)</f>
        <v>440956692977</v>
      </c>
      <c r="P41" s="25"/>
      <c r="Q41" s="27">
        <f>SUM(Q9:Q40)</f>
        <v>224925079</v>
      </c>
      <c r="R41" s="25"/>
      <c r="S41" s="26"/>
      <c r="T41" s="25"/>
      <c r="U41" s="27">
        <f>SUM(U9:U40)</f>
        <v>1897346169782</v>
      </c>
      <c r="V41" s="25"/>
      <c r="W41" s="27">
        <f>SUM(W9:W40)</f>
        <v>2909541688776</v>
      </c>
      <c r="Y41" s="13">
        <f>SUM(Y9:Y40)</f>
        <v>95.800440714022542</v>
      </c>
    </row>
    <row r="42" spans="1:27" ht="13.5" thickTop="1"/>
    <row r="43" spans="1:27">
      <c r="E43" s="25"/>
      <c r="G43" s="25"/>
      <c r="U43" s="75"/>
      <c r="W43" s="75"/>
    </row>
    <row r="44" spans="1:27">
      <c r="E44" s="25"/>
      <c r="G44" s="25"/>
      <c r="U44" s="75"/>
      <c r="W44" s="75"/>
    </row>
    <row r="45" spans="1:27">
      <c r="U45" s="75"/>
      <c r="W45" s="75"/>
    </row>
    <row r="46" spans="1:27">
      <c r="U46" s="75"/>
      <c r="W46" s="75"/>
    </row>
    <row r="47" spans="1:27">
      <c r="U47" s="75"/>
    </row>
  </sheetData>
  <mergeCells count="10">
    <mergeCell ref="I6:O6"/>
    <mergeCell ref="Q6:Y6"/>
    <mergeCell ref="I7:K7"/>
    <mergeCell ref="M7:O7"/>
    <mergeCell ref="C6:G6"/>
    <mergeCell ref="A1:Y1"/>
    <mergeCell ref="A2:Y2"/>
    <mergeCell ref="A3:Y3"/>
    <mergeCell ref="A4:Y4"/>
    <mergeCell ref="A5:Y5"/>
  </mergeCells>
  <pageMargins left="0.39" right="0.39" top="0.39" bottom="0.39" header="0" footer="0"/>
  <pageSetup scale="5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AM14"/>
  <sheetViews>
    <sheetView rightToLeft="1" view="pageBreakPreview" topLeftCell="K1" zoomScale="80" zoomScaleNormal="100" zoomScaleSheetLayoutView="80" workbookViewId="0">
      <selection activeCell="AP15" sqref="AP15"/>
    </sheetView>
  </sheetViews>
  <sheetFormatPr defaultRowHeight="12.75"/>
  <cols>
    <col min="1" max="1" width="60.85546875" bestFit="1" customWidth="1"/>
    <col min="2" max="2" width="1.28515625" customWidth="1"/>
    <col min="3" max="3" width="19.28515625" bestFit="1" customWidth="1"/>
    <col min="4" max="4" width="1.28515625" customWidth="1"/>
    <col min="5" max="5" width="15" bestFit="1" customWidth="1"/>
    <col min="6" max="6" width="1.28515625" customWidth="1"/>
    <col min="7" max="7" width="16" bestFit="1" customWidth="1"/>
    <col min="8" max="8" width="1.28515625" customWidth="1"/>
    <col min="9" max="9" width="13" bestFit="1" customWidth="1"/>
    <col min="10" max="10" width="1.28515625" customWidth="1"/>
    <col min="11" max="11" width="13.42578125" bestFit="1" customWidth="1"/>
    <col min="12" max="12" width="1.28515625" customWidth="1"/>
    <col min="13" max="13" width="12.140625" bestFit="1" customWidth="1"/>
    <col min="14" max="14" width="1.28515625" customWidth="1"/>
    <col min="15" max="15" width="8.28515625" bestFit="1" customWidth="1"/>
    <col min="16" max="16" width="1.28515625" customWidth="1"/>
    <col min="17" max="17" width="15.85546875" bestFit="1" customWidth="1"/>
    <col min="18" max="18" width="1.28515625" customWidth="1"/>
    <col min="19" max="19" width="16.42578125" bestFit="1" customWidth="1"/>
    <col min="20" max="20" width="1.28515625" customWidth="1"/>
    <col min="21" max="21" width="7.140625" bestFit="1" customWidth="1"/>
    <col min="22" max="22" width="1.28515625" customWidth="1"/>
    <col min="23" max="23" width="15" bestFit="1" customWidth="1"/>
    <col min="24" max="24" width="1.28515625" customWidth="1"/>
    <col min="25" max="25" width="8.28515625" bestFit="1" customWidth="1"/>
    <col min="26" max="26" width="1.28515625" customWidth="1"/>
    <col min="27" max="27" width="15.85546875" bestFit="1" customWidth="1"/>
    <col min="28" max="28" width="1.28515625" customWidth="1"/>
    <col min="29" max="29" width="7.140625" bestFit="1" customWidth="1"/>
    <col min="30" max="30" width="1.28515625" customWidth="1"/>
    <col min="31" max="31" width="17" bestFit="1" customWidth="1"/>
    <col min="32" max="32" width="1.28515625" customWidth="1"/>
    <col min="33" max="33" width="14.85546875" bestFit="1" customWidth="1"/>
    <col min="34" max="34" width="1.28515625" customWidth="1"/>
    <col min="35" max="35" width="16.42578125" bestFit="1" customWidth="1"/>
    <col min="36" max="36" width="1.28515625" customWidth="1"/>
    <col min="37" max="37" width="19.28515625" bestFit="1" customWidth="1"/>
    <col min="38" max="38" width="0.28515625" customWidth="1"/>
  </cols>
  <sheetData>
    <row r="1" spans="1:39" ht="29.1" customHeight="1">
      <c r="A1" s="95" t="str">
        <f>سهام!A1</f>
        <v>صندوق سرمایه گذاری افق دماوند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</row>
    <row r="2" spans="1:39" ht="21.75" customHeight="1">
      <c r="A2" s="95" t="s">
        <v>1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</row>
    <row r="3" spans="1:39" ht="21.75" customHeight="1">
      <c r="A3" s="95" t="str">
        <f>سهام!A3</f>
        <v>برای ماه منتهی به 1404/10/30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</row>
    <row r="4" spans="1:39" ht="14.45" customHeight="1"/>
    <row r="5" spans="1:39" ht="24">
      <c r="A5" s="46" t="s">
        <v>194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</row>
    <row r="6" spans="1:39" ht="14.45" customHeight="1">
      <c r="A6" s="99" t="s">
        <v>61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23"/>
      <c r="O6" s="99" t="s">
        <v>255</v>
      </c>
      <c r="P6" s="99"/>
      <c r="Q6" s="99"/>
      <c r="R6" s="99"/>
      <c r="S6" s="99"/>
      <c r="U6" s="99" t="s">
        <v>3</v>
      </c>
      <c r="V6" s="99"/>
      <c r="W6" s="99"/>
      <c r="X6" s="99"/>
      <c r="Y6" s="99"/>
      <c r="Z6" s="99"/>
      <c r="AA6" s="99"/>
      <c r="AC6" s="99" t="s">
        <v>266</v>
      </c>
      <c r="AD6" s="99"/>
      <c r="AE6" s="99"/>
      <c r="AF6" s="99"/>
      <c r="AG6" s="99"/>
      <c r="AH6" s="99"/>
      <c r="AI6" s="99"/>
      <c r="AJ6" s="99"/>
      <c r="AK6" s="99"/>
    </row>
    <row r="7" spans="1:39" ht="14.45" customHeight="1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5"/>
      <c r="U7" s="98" t="s">
        <v>5</v>
      </c>
      <c r="V7" s="98"/>
      <c r="W7" s="98"/>
      <c r="X7" s="34"/>
      <c r="Y7" s="98" t="s">
        <v>6</v>
      </c>
      <c r="Z7" s="98"/>
      <c r="AA7" s="98"/>
      <c r="AB7" s="35"/>
      <c r="AC7" s="34"/>
      <c r="AD7" s="34"/>
      <c r="AE7" s="34"/>
      <c r="AF7" s="34"/>
      <c r="AG7" s="34"/>
      <c r="AH7" s="34"/>
      <c r="AI7" s="34"/>
      <c r="AJ7" s="34"/>
      <c r="AK7" s="34"/>
    </row>
    <row r="8" spans="1:39" ht="42">
      <c r="A8" s="2" t="s">
        <v>62</v>
      </c>
      <c r="B8" s="35"/>
      <c r="C8" s="2" t="s">
        <v>63</v>
      </c>
      <c r="D8" s="35"/>
      <c r="E8" s="7" t="s">
        <v>64</v>
      </c>
      <c r="F8" s="35"/>
      <c r="G8" s="2" t="s">
        <v>65</v>
      </c>
      <c r="H8" s="35"/>
      <c r="I8" s="2" t="s">
        <v>66</v>
      </c>
      <c r="J8" s="35"/>
      <c r="K8" s="2" t="s">
        <v>67</v>
      </c>
      <c r="L8" s="35"/>
      <c r="M8" s="2" t="s">
        <v>52</v>
      </c>
      <c r="N8" s="35"/>
      <c r="O8" s="2" t="s">
        <v>8</v>
      </c>
      <c r="P8" s="35"/>
      <c r="Q8" s="2" t="s">
        <v>9</v>
      </c>
      <c r="R8" s="35"/>
      <c r="S8" s="2" t="s">
        <v>10</v>
      </c>
      <c r="T8" s="35"/>
      <c r="U8" s="4" t="s">
        <v>8</v>
      </c>
      <c r="V8" s="34"/>
      <c r="W8" s="4" t="s">
        <v>9</v>
      </c>
      <c r="X8" s="35"/>
      <c r="Y8" s="4" t="s">
        <v>8</v>
      </c>
      <c r="Z8" s="34"/>
      <c r="AA8" s="4" t="s">
        <v>11</v>
      </c>
      <c r="AB8" s="35"/>
      <c r="AC8" s="2" t="s">
        <v>8</v>
      </c>
      <c r="AD8" s="35"/>
      <c r="AE8" s="2" t="s">
        <v>12</v>
      </c>
      <c r="AF8" s="35"/>
      <c r="AG8" s="2" t="s">
        <v>9</v>
      </c>
      <c r="AH8" s="35"/>
      <c r="AI8" s="2" t="s">
        <v>10</v>
      </c>
      <c r="AJ8" s="35"/>
      <c r="AK8" s="2" t="s">
        <v>13</v>
      </c>
    </row>
    <row r="9" spans="1:39" ht="21.75" customHeight="1">
      <c r="A9" s="36" t="s">
        <v>68</v>
      </c>
      <c r="B9" s="78"/>
      <c r="C9" s="36" t="s">
        <v>69</v>
      </c>
      <c r="D9" s="78"/>
      <c r="E9" s="36" t="s">
        <v>69</v>
      </c>
      <c r="F9" s="78"/>
      <c r="G9" s="36" t="s">
        <v>70</v>
      </c>
      <c r="H9" s="78"/>
      <c r="I9" s="36" t="s">
        <v>71</v>
      </c>
      <c r="J9" s="78"/>
      <c r="K9" s="37">
        <v>23</v>
      </c>
      <c r="L9" s="78"/>
      <c r="M9" s="37">
        <v>23</v>
      </c>
      <c r="N9" s="78"/>
      <c r="O9" s="38">
        <v>51700</v>
      </c>
      <c r="P9" s="78"/>
      <c r="Q9" s="38">
        <v>51726196114</v>
      </c>
      <c r="R9" s="78"/>
      <c r="S9" s="38">
        <v>51671888125</v>
      </c>
      <c r="T9" s="9"/>
      <c r="U9" s="38">
        <v>0</v>
      </c>
      <c r="V9" s="78"/>
      <c r="W9" s="38">
        <v>0</v>
      </c>
      <c r="X9" s="78"/>
      <c r="Y9" s="88">
        <v>51700</v>
      </c>
      <c r="Z9" s="78"/>
      <c r="AA9" s="38">
        <v>51671888125</v>
      </c>
      <c r="AB9" s="78"/>
      <c r="AC9" s="38">
        <v>0</v>
      </c>
      <c r="AD9" s="78"/>
      <c r="AE9" s="38"/>
      <c r="AF9" s="78"/>
      <c r="AG9" s="38">
        <v>0</v>
      </c>
      <c r="AH9" s="78"/>
      <c r="AI9" s="38">
        <v>0</v>
      </c>
      <c r="AJ9" s="78"/>
      <c r="AK9" s="40">
        <f>AI9/2780744946771*100</f>
        <v>0</v>
      </c>
      <c r="AM9" s="45"/>
    </row>
    <row r="10" spans="1:39" ht="19.5" thickBot="1">
      <c r="A10" s="79"/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80">
        <v>51700</v>
      </c>
      <c r="P10" s="89"/>
      <c r="Q10" s="80">
        <v>51726196114</v>
      </c>
      <c r="R10" s="89"/>
      <c r="S10" s="80">
        <v>51671888125</v>
      </c>
      <c r="T10" s="9"/>
      <c r="U10" s="80">
        <f>SUM(U9)</f>
        <v>0</v>
      </c>
      <c r="V10" s="41"/>
      <c r="W10" s="80">
        <f>SUM(W9)</f>
        <v>0</v>
      </c>
      <c r="X10" s="89"/>
      <c r="Y10" s="80">
        <f>SUM(Y9)</f>
        <v>51700</v>
      </c>
      <c r="Z10" s="89"/>
      <c r="AA10" s="80">
        <f>SUM(AA9)</f>
        <v>51671888125</v>
      </c>
      <c r="AB10" s="89"/>
      <c r="AC10" s="80">
        <f>SUM(AC9)</f>
        <v>0</v>
      </c>
      <c r="AD10" s="89"/>
      <c r="AE10" s="89"/>
      <c r="AF10" s="89"/>
      <c r="AG10" s="80">
        <f>SUM(AG9)</f>
        <v>0</v>
      </c>
      <c r="AH10" s="89"/>
      <c r="AI10" s="80">
        <f>SUM(AI9)</f>
        <v>0</v>
      </c>
      <c r="AJ10" s="89"/>
      <c r="AK10" s="81">
        <f>SUM(AK9)</f>
        <v>0</v>
      </c>
    </row>
    <row r="11" spans="1:39" ht="13.5" thickTop="1">
      <c r="AG11" s="45"/>
    </row>
    <row r="12" spans="1:39">
      <c r="Q12" s="45"/>
      <c r="S12" s="45"/>
      <c r="AG12" s="45"/>
      <c r="AI12" s="45"/>
    </row>
    <row r="14" spans="1:39">
      <c r="AG14" s="45"/>
      <c r="AI14" s="77"/>
    </row>
  </sheetData>
  <mergeCells count="9">
    <mergeCell ref="U7:W7"/>
    <mergeCell ref="Y7:AA7"/>
    <mergeCell ref="AC6:AK6"/>
    <mergeCell ref="O6:S6"/>
    <mergeCell ref="A1:AK1"/>
    <mergeCell ref="A2:AK2"/>
    <mergeCell ref="A3:AK3"/>
    <mergeCell ref="A6:M6"/>
    <mergeCell ref="U6:AA6"/>
  </mergeCells>
  <pageMargins left="0.39" right="0.39" top="0.39" bottom="0.39" header="0" footer="0"/>
  <pageSetup scale="3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2137F-F32A-4D9A-934C-3FDFE5C7D6C1}">
  <sheetPr>
    <tabColor rgb="FF92D050"/>
    <pageSetUpPr fitToPage="1"/>
  </sheetPr>
  <dimension ref="A1:AW33"/>
  <sheetViews>
    <sheetView rightToLeft="1" view="pageBreakPreview" zoomScale="60" zoomScaleNormal="100" workbookViewId="0">
      <selection activeCell="AA24" sqref="AA24"/>
    </sheetView>
  </sheetViews>
  <sheetFormatPr defaultRowHeight="12.75"/>
  <cols>
    <col min="1" max="1" width="28.7109375" style="82" bestFit="1" customWidth="1"/>
    <col min="2" max="2" width="1.28515625" style="82" customWidth="1"/>
    <col min="3" max="3" width="10.5703125" style="82" bestFit="1" customWidth="1"/>
    <col min="4" max="4" width="1.28515625" style="82" customWidth="1"/>
    <col min="5" max="5" width="10.5703125" style="82" bestFit="1" customWidth="1"/>
    <col min="6" max="6" width="1.28515625" style="82" customWidth="1"/>
    <col min="7" max="7" width="6.42578125" style="82" customWidth="1"/>
    <col min="8" max="8" width="1.28515625" style="82" customWidth="1"/>
    <col min="9" max="9" width="5.140625" style="82" customWidth="1"/>
    <col min="10" max="10" width="1.28515625" style="82" customWidth="1"/>
    <col min="11" max="11" width="9.140625" style="82" customWidth="1"/>
    <col min="12" max="12" width="1.28515625" style="82" customWidth="1"/>
    <col min="13" max="13" width="2.5703125" style="82" customWidth="1"/>
    <col min="14" max="14" width="1.28515625" style="82" customWidth="1"/>
    <col min="15" max="15" width="9.140625" style="82" customWidth="1"/>
    <col min="16" max="16" width="1.28515625" style="82" customWidth="1"/>
    <col min="17" max="17" width="2.5703125" style="82" customWidth="1"/>
    <col min="18" max="20" width="1.28515625" style="82" customWidth="1"/>
    <col min="21" max="21" width="6.42578125" style="82" customWidth="1"/>
    <col min="22" max="22" width="1.28515625" style="82" customWidth="1"/>
    <col min="23" max="23" width="2.5703125" style="82" customWidth="1"/>
    <col min="24" max="26" width="1.28515625" style="82" customWidth="1"/>
    <col min="27" max="27" width="6.42578125" style="82" customWidth="1"/>
    <col min="28" max="28" width="1.28515625" style="82" customWidth="1"/>
    <col min="29" max="29" width="2.5703125" style="82" customWidth="1"/>
    <col min="30" max="32" width="1.28515625" style="82" customWidth="1"/>
    <col min="33" max="33" width="9.140625" style="82" customWidth="1"/>
    <col min="34" max="34" width="1.28515625" style="82" customWidth="1"/>
    <col min="35" max="35" width="2.5703125" style="82" customWidth="1"/>
    <col min="36" max="36" width="1.28515625" style="82" customWidth="1"/>
    <col min="37" max="37" width="9.140625" style="82" customWidth="1"/>
    <col min="38" max="38" width="1.28515625" style="82" customWidth="1"/>
    <col min="39" max="39" width="2.5703125" style="82" customWidth="1"/>
    <col min="40" max="40" width="1.28515625" style="82" customWidth="1"/>
    <col min="41" max="41" width="9.140625" style="82" customWidth="1"/>
    <col min="42" max="42" width="1.28515625" style="82" customWidth="1"/>
    <col min="43" max="43" width="2.5703125" style="82" customWidth="1"/>
    <col min="44" max="44" width="1.28515625" style="82" customWidth="1"/>
    <col min="45" max="45" width="11.7109375" style="82" customWidth="1"/>
    <col min="46" max="47" width="1.28515625" style="82" customWidth="1"/>
    <col min="48" max="48" width="11" style="82" bestFit="1" customWidth="1"/>
    <col min="49" max="49" width="7.7109375" style="82" customWidth="1"/>
    <col min="50" max="50" width="0.28515625" style="82" customWidth="1"/>
    <col min="51" max="16384" width="9.140625" style="82"/>
  </cols>
  <sheetData>
    <row r="1" spans="1:49" ht="29.1" customHeight="1">
      <c r="A1" s="104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4"/>
      <c r="AJ1" s="104"/>
      <c r="AK1" s="104"/>
      <c r="AL1" s="104"/>
      <c r="AM1" s="104"/>
      <c r="AN1" s="104"/>
      <c r="AO1" s="104"/>
      <c r="AP1" s="104"/>
      <c r="AQ1" s="104"/>
      <c r="AR1" s="104"/>
      <c r="AS1" s="104"/>
      <c r="AT1" s="104"/>
      <c r="AU1" s="104"/>
      <c r="AV1" s="104"/>
      <c r="AW1" s="104"/>
    </row>
    <row r="2" spans="1:49" ht="21.75" customHeight="1">
      <c r="A2" s="104" t="s">
        <v>1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  <c r="AM2" s="104"/>
      <c r="AN2" s="104"/>
      <c r="AO2" s="104"/>
      <c r="AP2" s="104"/>
      <c r="AQ2" s="104"/>
      <c r="AR2" s="104"/>
      <c r="AS2" s="104"/>
      <c r="AT2" s="104"/>
      <c r="AU2" s="104"/>
      <c r="AV2" s="104"/>
      <c r="AW2" s="104"/>
    </row>
    <row r="3" spans="1:49" ht="21.75" customHeight="1">
      <c r="A3" s="104" t="str">
        <f>سهام!A3</f>
        <v>برای ماه منتهی به 1404/10/30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4"/>
      <c r="AL3" s="104"/>
      <c r="AM3" s="104"/>
      <c r="AN3" s="104"/>
      <c r="AO3" s="104"/>
      <c r="AP3" s="104"/>
      <c r="AQ3" s="104"/>
      <c r="AR3" s="104"/>
      <c r="AS3" s="104"/>
      <c r="AT3" s="104"/>
      <c r="AU3" s="104"/>
      <c r="AV3" s="104"/>
      <c r="AW3" s="104"/>
    </row>
    <row r="4" spans="1:49" ht="14.45" customHeight="1"/>
    <row r="5" spans="1:49" ht="14.45" customHeight="1">
      <c r="C5" s="103" t="s">
        <v>255</v>
      </c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Y5" s="103" t="s">
        <v>266</v>
      </c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3"/>
      <c r="AN5" s="103"/>
      <c r="AO5" s="103"/>
      <c r="AP5" s="103"/>
      <c r="AQ5" s="103"/>
      <c r="AR5" s="103"/>
      <c r="AS5" s="103"/>
      <c r="AT5" s="103"/>
      <c r="AU5" s="103"/>
      <c r="AV5" s="103"/>
    </row>
    <row r="6" spans="1:49" ht="14.45" customHeight="1">
      <c r="A6" s="85" t="s">
        <v>49</v>
      </c>
      <c r="C6" s="83" t="s">
        <v>276</v>
      </c>
      <c r="D6" s="84"/>
      <c r="E6" s="83" t="s">
        <v>269</v>
      </c>
      <c r="F6" s="84"/>
      <c r="G6" s="101" t="s">
        <v>275</v>
      </c>
      <c r="H6" s="101"/>
      <c r="I6" s="101"/>
      <c r="J6" s="84"/>
      <c r="K6" s="101" t="s">
        <v>53</v>
      </c>
      <c r="L6" s="101"/>
      <c r="M6" s="101"/>
      <c r="N6" s="84"/>
      <c r="O6" s="101" t="s">
        <v>50</v>
      </c>
      <c r="P6" s="101"/>
      <c r="Q6" s="101"/>
      <c r="R6" s="84"/>
      <c r="S6" s="101" t="s">
        <v>51</v>
      </c>
      <c r="T6" s="101"/>
      <c r="U6" s="101"/>
      <c r="V6" s="101"/>
      <c r="W6" s="101"/>
      <c r="Y6" s="101" t="s">
        <v>276</v>
      </c>
      <c r="Z6" s="101"/>
      <c r="AA6" s="101"/>
      <c r="AB6" s="101"/>
      <c r="AC6" s="101"/>
      <c r="AD6" s="84"/>
      <c r="AE6" s="101" t="s">
        <v>269</v>
      </c>
      <c r="AF6" s="101"/>
      <c r="AG6" s="101"/>
      <c r="AH6" s="101"/>
      <c r="AI6" s="101"/>
      <c r="AJ6" s="84"/>
      <c r="AK6" s="101" t="s">
        <v>275</v>
      </c>
      <c r="AL6" s="101"/>
      <c r="AM6" s="101"/>
      <c r="AN6" s="84"/>
      <c r="AO6" s="101" t="s">
        <v>53</v>
      </c>
      <c r="AP6" s="101"/>
      <c r="AQ6" s="101"/>
      <c r="AR6" s="84"/>
      <c r="AS6" s="101" t="s">
        <v>50</v>
      </c>
      <c r="AT6" s="101"/>
      <c r="AU6" s="84"/>
      <c r="AV6" s="83" t="s">
        <v>51</v>
      </c>
    </row>
    <row r="7" spans="1:49" ht="21.75" customHeight="1">
      <c r="A7" s="90" t="s">
        <v>274</v>
      </c>
      <c r="B7" s="91"/>
      <c r="C7" s="90" t="s">
        <v>273</v>
      </c>
      <c r="D7" s="91"/>
      <c r="E7" s="90" t="s">
        <v>271</v>
      </c>
      <c r="F7" s="91"/>
      <c r="G7" s="100" t="s">
        <v>271</v>
      </c>
      <c r="H7" s="100"/>
      <c r="I7" s="100"/>
      <c r="J7" s="91"/>
      <c r="K7" s="102">
        <v>0</v>
      </c>
      <c r="L7" s="102"/>
      <c r="M7" s="102"/>
      <c r="N7" s="91"/>
      <c r="O7" s="102">
        <v>0</v>
      </c>
      <c r="P7" s="102"/>
      <c r="Q7" s="102"/>
      <c r="R7" s="91"/>
      <c r="S7" s="100" t="s">
        <v>271</v>
      </c>
      <c r="T7" s="100"/>
      <c r="U7" s="100"/>
      <c r="V7" s="100"/>
      <c r="W7" s="100"/>
      <c r="X7" s="91"/>
      <c r="Y7" s="100" t="s">
        <v>273</v>
      </c>
      <c r="Z7" s="100"/>
      <c r="AA7" s="100"/>
      <c r="AB7" s="100"/>
      <c r="AC7" s="100"/>
      <c r="AD7" s="91"/>
      <c r="AE7" s="100" t="s">
        <v>272</v>
      </c>
      <c r="AF7" s="100"/>
      <c r="AG7" s="100"/>
      <c r="AH7" s="100"/>
      <c r="AI7" s="100"/>
      <c r="AJ7" s="91"/>
      <c r="AK7" s="100" t="s">
        <v>271</v>
      </c>
      <c r="AL7" s="100"/>
      <c r="AM7" s="100"/>
      <c r="AN7" s="91"/>
      <c r="AO7" s="102">
        <v>1012000</v>
      </c>
      <c r="AP7" s="102"/>
      <c r="AQ7" s="102"/>
      <c r="AR7" s="91"/>
      <c r="AS7" s="102">
        <v>10000</v>
      </c>
      <c r="AT7" s="102"/>
      <c r="AU7" s="91"/>
      <c r="AV7" s="86" t="s">
        <v>270</v>
      </c>
    </row>
    <row r="8" spans="1:49" ht="21.75" customHeight="1"/>
    <row r="9" spans="1:49" ht="21.75" customHeight="1"/>
    <row r="10" spans="1:49" ht="21.75" customHeight="1"/>
    <row r="11" spans="1:49" ht="21.75" customHeight="1"/>
    <row r="12" spans="1:49" ht="21.75" customHeight="1"/>
    <row r="13" spans="1:49" ht="21.75" customHeight="1"/>
    <row r="14" spans="1:49" ht="21.75" customHeight="1"/>
    <row r="15" spans="1:49" ht="21.75" customHeight="1"/>
    <row r="16" spans="1:49" ht="21.75" customHeight="1"/>
    <row r="17" ht="21.75" customHeight="1"/>
    <row r="18" ht="21.75" customHeight="1"/>
    <row r="19" ht="21.75" customHeight="1"/>
    <row r="20" ht="21.75" customHeight="1"/>
    <row r="21" ht="21.75" customHeight="1"/>
    <row r="22" ht="21.75" customHeight="1"/>
    <row r="23" ht="21.75" customHeight="1"/>
    <row r="24" ht="21.75" customHeight="1"/>
    <row r="25" ht="21.75" customHeight="1"/>
    <row r="26" ht="21.75" customHeight="1"/>
    <row r="27" ht="21.75" customHeight="1"/>
    <row r="28" ht="21.75" customHeight="1"/>
    <row r="29" ht="21.75" customHeight="1"/>
    <row r="30" ht="21.75" customHeight="1"/>
    <row r="31" ht="21.75" customHeight="1"/>
    <row r="32" ht="21.75" customHeight="1"/>
    <row r="33" ht="21.75" customHeight="1"/>
  </sheetData>
  <mergeCells count="23">
    <mergeCell ref="A1:AW1"/>
    <mergeCell ref="A2:AW2"/>
    <mergeCell ref="A3:AW3"/>
    <mergeCell ref="Y5:AV5"/>
    <mergeCell ref="G6:I6"/>
    <mergeCell ref="K6:M6"/>
    <mergeCell ref="O6:Q6"/>
    <mergeCell ref="S6:W6"/>
    <mergeCell ref="Y6:AC6"/>
    <mergeCell ref="AE6:AI6"/>
    <mergeCell ref="AK6:AM6"/>
    <mergeCell ref="AO6:AQ6"/>
    <mergeCell ref="G7:I7"/>
    <mergeCell ref="K7:M7"/>
    <mergeCell ref="O7:Q7"/>
    <mergeCell ref="S7:W7"/>
    <mergeCell ref="C5:W5"/>
    <mergeCell ref="Y7:AC7"/>
    <mergeCell ref="AS6:AT6"/>
    <mergeCell ref="AE7:AI7"/>
    <mergeCell ref="AK7:AM7"/>
    <mergeCell ref="AO7:AQ7"/>
    <mergeCell ref="AS7:AT7"/>
  </mergeCells>
  <pageMargins left="0.39" right="0.39" top="0.39" bottom="0.39" header="0" footer="0"/>
  <pageSetup scale="6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K14"/>
  <sheetViews>
    <sheetView rightToLeft="1" view="pageBreakPreview" zoomScale="160" zoomScaleNormal="100" zoomScaleSheetLayoutView="160" workbookViewId="0">
      <selection activeCell="I14" sqref="I14"/>
    </sheetView>
  </sheetViews>
  <sheetFormatPr defaultRowHeight="12.75"/>
  <cols>
    <col min="1" max="1" width="37.7109375" bestFit="1" customWidth="1"/>
    <col min="2" max="2" width="1.28515625" customWidth="1"/>
    <col min="3" max="3" width="15" bestFit="1" customWidth="1"/>
    <col min="4" max="4" width="1.28515625" customWidth="1"/>
    <col min="5" max="5" width="16.140625" bestFit="1" customWidth="1"/>
    <col min="6" max="6" width="1.28515625" customWidth="1"/>
    <col min="7" max="7" width="16.140625" bestFit="1" customWidth="1"/>
    <col min="8" max="8" width="1.28515625" customWidth="1"/>
    <col min="9" max="9" width="15.85546875" bestFit="1" customWidth="1"/>
    <col min="10" max="10" width="1.28515625" customWidth="1"/>
    <col min="11" max="11" width="18.28515625" bestFit="1" customWidth="1"/>
    <col min="12" max="12" width="0.28515625" customWidth="1"/>
  </cols>
  <sheetData>
    <row r="1" spans="1:11" ht="29.1" customHeight="1">
      <c r="A1" s="95" t="str">
        <f>سهام!A1</f>
        <v>صندوق سرمایه گذاری افق دماوند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1" ht="21.75" customHeight="1">
      <c r="A2" s="95" t="s">
        <v>1</v>
      </c>
      <c r="B2" s="95"/>
      <c r="C2" s="95"/>
      <c r="D2" s="95"/>
      <c r="E2" s="95"/>
      <c r="F2" s="95"/>
      <c r="G2" s="95"/>
      <c r="H2" s="95"/>
      <c r="I2" s="95"/>
      <c r="J2" s="95"/>
      <c r="K2" s="95"/>
    </row>
    <row r="3" spans="1:11" ht="21.75" customHeight="1">
      <c r="A3" s="95" t="str">
        <f>سهام!A3</f>
        <v>برای ماه منتهی به 1404/10/30</v>
      </c>
      <c r="B3" s="95"/>
      <c r="C3" s="95"/>
      <c r="D3" s="95"/>
      <c r="E3" s="95"/>
      <c r="F3" s="95"/>
      <c r="G3" s="95"/>
      <c r="H3" s="95"/>
      <c r="I3" s="95"/>
      <c r="J3" s="95"/>
      <c r="K3" s="95"/>
    </row>
    <row r="4" spans="1:11" ht="14.45" customHeight="1"/>
    <row r="5" spans="1:11" ht="14.45" customHeight="1">
      <c r="A5" s="46" t="s">
        <v>195</v>
      </c>
      <c r="B5" s="30"/>
      <c r="C5" s="30"/>
      <c r="D5" s="30"/>
      <c r="E5" s="30"/>
      <c r="F5" s="30"/>
      <c r="G5" s="30"/>
      <c r="H5" s="30"/>
      <c r="I5" s="30"/>
      <c r="J5" s="30"/>
      <c r="K5" s="30"/>
    </row>
    <row r="6" spans="1:11" ht="14.45" customHeight="1">
      <c r="C6" s="2" t="s">
        <v>4</v>
      </c>
      <c r="E6" s="99" t="s">
        <v>3</v>
      </c>
      <c r="F6" s="99"/>
      <c r="G6" s="99"/>
      <c r="I6" s="105" t="s">
        <v>255</v>
      </c>
      <c r="J6" s="105"/>
      <c r="K6" s="105"/>
    </row>
    <row r="7" spans="1:11" ht="14.45" customHeight="1">
      <c r="A7" s="23" t="s">
        <v>73</v>
      </c>
      <c r="C7" s="2" t="s">
        <v>74</v>
      </c>
      <c r="E7" s="2" t="s">
        <v>75</v>
      </c>
      <c r="G7" s="2" t="s">
        <v>76</v>
      </c>
      <c r="I7" s="2" t="s">
        <v>74</v>
      </c>
      <c r="K7" s="2" t="s">
        <v>13</v>
      </c>
    </row>
    <row r="8" spans="1:11" ht="21" customHeight="1">
      <c r="A8" s="15" t="s">
        <v>257</v>
      </c>
      <c r="C8" s="38">
        <v>30218034</v>
      </c>
      <c r="D8" s="35"/>
      <c r="E8" s="38">
        <v>223678</v>
      </c>
      <c r="F8" s="35"/>
      <c r="G8" s="38">
        <v>693000</v>
      </c>
      <c r="H8" s="35"/>
      <c r="I8" s="41">
        <f>C8+E8-G8</f>
        <v>29748712</v>
      </c>
      <c r="K8" s="40">
        <f>I8/2780744946771*100</f>
        <v>1.0698108805176178E-3</v>
      </c>
    </row>
    <row r="9" spans="1:11" ht="21" customHeight="1">
      <c r="A9" s="14" t="s">
        <v>258</v>
      </c>
      <c r="C9" s="41">
        <v>124435391236</v>
      </c>
      <c r="D9" s="35"/>
      <c r="E9" s="41">
        <v>333160758242</v>
      </c>
      <c r="F9" s="35"/>
      <c r="G9" s="41">
        <v>436234107053</v>
      </c>
      <c r="H9" s="35"/>
      <c r="I9" s="41">
        <f t="shared" ref="I9:I11" si="0">C9+E9-G9</f>
        <v>21362042425</v>
      </c>
      <c r="K9" s="40">
        <f t="shared" ref="K9:K11" si="1">I9/2780744946771*100</f>
        <v>0.76821293696157189</v>
      </c>
    </row>
    <row r="10" spans="1:11" ht="21" customHeight="1">
      <c r="A10" s="14" t="s">
        <v>259</v>
      </c>
      <c r="C10" s="41">
        <v>508408</v>
      </c>
      <c r="D10" s="35"/>
      <c r="E10" s="41">
        <v>2089</v>
      </c>
      <c r="F10" s="35"/>
      <c r="G10" s="41">
        <v>0</v>
      </c>
      <c r="H10" s="35"/>
      <c r="I10" s="41">
        <f t="shared" si="0"/>
        <v>510497</v>
      </c>
      <c r="K10" s="40">
        <f t="shared" si="1"/>
        <v>1.8358282034919778E-5</v>
      </c>
    </row>
    <row r="11" spans="1:11" ht="21" customHeight="1">
      <c r="A11" s="14" t="s">
        <v>260</v>
      </c>
      <c r="C11" s="41">
        <v>9582000</v>
      </c>
      <c r="D11" s="35"/>
      <c r="E11" s="41">
        <v>0</v>
      </c>
      <c r="F11" s="35"/>
      <c r="G11" s="41">
        <v>308000</v>
      </c>
      <c r="H11" s="35"/>
      <c r="I11" s="41">
        <f t="shared" si="0"/>
        <v>9274000</v>
      </c>
      <c r="K11" s="40">
        <f t="shared" si="1"/>
        <v>3.3350775340863125E-4</v>
      </c>
    </row>
    <row r="12" spans="1:11" ht="21.75" customHeight="1" thickBot="1">
      <c r="A12" s="22"/>
      <c r="C12" s="43">
        <f>SUM(C8:C11)</f>
        <v>124475699678</v>
      </c>
      <c r="D12" s="35"/>
      <c r="E12" s="43">
        <f>SUM(E8:E11)</f>
        <v>333160984009</v>
      </c>
      <c r="F12" s="35"/>
      <c r="G12" s="43">
        <f>SUM(G8:G11)</f>
        <v>436235108053</v>
      </c>
      <c r="H12" s="35"/>
      <c r="I12" s="43">
        <f>SUM(I8:I11)</f>
        <v>21401575634</v>
      </c>
      <c r="K12" s="44">
        <f>SUM(K8:K11)</f>
        <v>0.76963461387753307</v>
      </c>
    </row>
    <row r="13" spans="1:11" ht="13.5" thickTop="1">
      <c r="E13" s="45"/>
      <c r="I13" s="45"/>
    </row>
    <row r="14" spans="1:11">
      <c r="C14" s="45"/>
      <c r="I14" s="45"/>
    </row>
  </sheetData>
  <mergeCells count="5">
    <mergeCell ref="E6:G6"/>
    <mergeCell ref="A1:K1"/>
    <mergeCell ref="A2:K2"/>
    <mergeCell ref="A3:K3"/>
    <mergeCell ref="I6:K6"/>
  </mergeCells>
  <pageMargins left="0.39" right="0.39" top="0.39" bottom="0.39" header="0" footer="0"/>
  <pageSetup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R15"/>
  <sheetViews>
    <sheetView rightToLeft="1" view="pageBreakPreview" zoomScaleNormal="100" zoomScaleSheetLayoutView="100" workbookViewId="0">
      <selection activeCell="F16" sqref="F16"/>
    </sheetView>
  </sheetViews>
  <sheetFormatPr defaultRowHeight="12.75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2" max="12" width="16.42578125" hidden="1" customWidth="1"/>
    <col min="13" max="13" width="15.42578125" hidden="1" customWidth="1"/>
    <col min="14" max="17" width="14.85546875" bestFit="1" customWidth="1"/>
    <col min="18" max="18" width="13.42578125" bestFit="1" customWidth="1"/>
  </cols>
  <sheetData>
    <row r="1" spans="1:18" ht="29.1" customHeight="1">
      <c r="A1" s="95" t="str">
        <f>سهام!A1</f>
        <v>صندوق سرمایه گذاری افق دماوند</v>
      </c>
      <c r="B1" s="95"/>
      <c r="C1" s="95"/>
      <c r="D1" s="95"/>
      <c r="E1" s="95"/>
      <c r="F1" s="95"/>
      <c r="G1" s="95"/>
      <c r="H1" s="95"/>
      <c r="I1" s="95"/>
      <c r="J1" s="95"/>
    </row>
    <row r="2" spans="1:18" ht="21.75" customHeight="1">
      <c r="A2" s="95" t="s">
        <v>77</v>
      </c>
      <c r="B2" s="95"/>
      <c r="C2" s="95"/>
      <c r="D2" s="95"/>
      <c r="E2" s="95"/>
      <c r="F2" s="95"/>
      <c r="G2" s="95"/>
      <c r="H2" s="95"/>
      <c r="I2" s="95"/>
      <c r="J2" s="95"/>
    </row>
    <row r="3" spans="1:18" ht="21.75" customHeight="1">
      <c r="A3" s="95" t="str">
        <f>سهام!A3</f>
        <v>برای ماه منتهی به 1404/10/30</v>
      </c>
      <c r="B3" s="95"/>
      <c r="C3" s="95"/>
      <c r="D3" s="95"/>
      <c r="E3" s="95"/>
      <c r="F3" s="95"/>
      <c r="G3" s="95"/>
      <c r="H3" s="95"/>
      <c r="I3" s="95"/>
      <c r="J3" s="95"/>
    </row>
    <row r="4" spans="1:18" ht="14.45" customHeight="1"/>
    <row r="5" spans="1:18" ht="29.1" customHeight="1">
      <c r="A5" s="1" t="s">
        <v>78</v>
      </c>
      <c r="B5" s="109" t="s">
        <v>79</v>
      </c>
      <c r="C5" s="109"/>
      <c r="D5" s="109"/>
      <c r="E5" s="109"/>
      <c r="F5" s="109"/>
      <c r="G5" s="109"/>
      <c r="H5" s="109"/>
      <c r="I5" s="109"/>
      <c r="J5" s="109"/>
    </row>
    <row r="6" spans="1:18" ht="14.45" customHeight="1"/>
    <row r="7" spans="1:18" ht="14.45" customHeight="1">
      <c r="A7" s="97" t="s">
        <v>80</v>
      </c>
      <c r="B7" s="97"/>
      <c r="D7" s="2" t="s">
        <v>81</v>
      </c>
      <c r="F7" s="2" t="s">
        <v>74</v>
      </c>
      <c r="H7" s="2" t="s">
        <v>82</v>
      </c>
      <c r="J7" s="2" t="s">
        <v>83</v>
      </c>
    </row>
    <row r="8" spans="1:18" ht="21.75" customHeight="1">
      <c r="A8" s="107" t="s">
        <v>84</v>
      </c>
      <c r="B8" s="107"/>
      <c r="C8" s="35"/>
      <c r="D8" s="36" t="s">
        <v>85</v>
      </c>
      <c r="E8" s="35"/>
      <c r="F8" s="38">
        <f>'درآمد سرمایه گذاری در سهام'!S119</f>
        <v>1124910127068</v>
      </c>
      <c r="G8" s="35"/>
      <c r="H8" s="40">
        <f>F8/$F$12*100</f>
        <v>99.356743923956401</v>
      </c>
      <c r="I8" s="35"/>
      <c r="J8" s="40">
        <f>F8/1132193027510*100</f>
        <v>99.356743923956401</v>
      </c>
      <c r="L8" s="53">
        <f>'درآمد سرمایه گذاری در سهام'!I119</f>
        <v>506017413030</v>
      </c>
      <c r="M8" s="45">
        <f>'درآمد سرمایه گذاری در سهام'!I119</f>
        <v>506017413030</v>
      </c>
      <c r="N8" s="45"/>
      <c r="O8" s="45"/>
      <c r="P8" s="45"/>
      <c r="Q8" s="45"/>
      <c r="R8" s="45"/>
    </row>
    <row r="9" spans="1:18" ht="21.75" customHeight="1">
      <c r="A9" s="108" t="s">
        <v>87</v>
      </c>
      <c r="B9" s="108"/>
      <c r="C9" s="35"/>
      <c r="D9" s="39" t="s">
        <v>86</v>
      </c>
      <c r="E9" s="35"/>
      <c r="F9" s="41">
        <f>'درآمد سرمایه گذاری در اوراق'!Q12</f>
        <v>4115309055</v>
      </c>
      <c r="G9" s="35"/>
      <c r="H9" s="40">
        <f>F9/$F$12*100</f>
        <v>0.36348122228333113</v>
      </c>
      <c r="I9" s="35"/>
      <c r="J9" s="40">
        <f t="shared" ref="J9:J10" si="0">F9/2780744946771*100</f>
        <v>0.14799304264775148</v>
      </c>
      <c r="L9" s="45">
        <f>'درآمد سرمایه گذاری در اوراق'!I12</f>
        <v>371569867</v>
      </c>
      <c r="M9" s="45">
        <f>'درآمد سرمایه گذاری در اوراق'!I12</f>
        <v>371569867</v>
      </c>
      <c r="N9" s="45"/>
    </row>
    <row r="10" spans="1:18" ht="21.75" customHeight="1">
      <c r="A10" s="108" t="s">
        <v>89</v>
      </c>
      <c r="B10" s="108"/>
      <c r="C10" s="35"/>
      <c r="D10" s="39" t="s">
        <v>88</v>
      </c>
      <c r="E10" s="35"/>
      <c r="F10" s="41">
        <f>'درآمد سپرده بانکی'!G11</f>
        <v>923256077</v>
      </c>
      <c r="G10" s="35"/>
      <c r="H10" s="40">
        <f>F10/$F$12*100</f>
        <v>8.1545819004952794E-2</v>
      </c>
      <c r="I10" s="35"/>
      <c r="J10" s="40">
        <f t="shared" si="0"/>
        <v>3.3201753295356504E-2</v>
      </c>
      <c r="L10" s="45">
        <f>'درآمد سپرده بانکی'!C11</f>
        <v>260392</v>
      </c>
      <c r="M10" s="45">
        <f>'درآمد سپرده بانکی'!C11</f>
        <v>260392</v>
      </c>
    </row>
    <row r="11" spans="1:18" ht="21.75" customHeight="1">
      <c r="A11" s="108" t="s">
        <v>91</v>
      </c>
      <c r="B11" s="108"/>
      <c r="C11" s="35"/>
      <c r="D11" s="39" t="s">
        <v>90</v>
      </c>
      <c r="E11" s="35"/>
      <c r="F11" s="42">
        <f>'سایر درآمدها'!E10</f>
        <v>2244335310</v>
      </c>
      <c r="G11" s="35"/>
      <c r="H11" s="40">
        <f>F11/$F$12*100</f>
        <v>0.19822903475531051</v>
      </c>
      <c r="I11" s="35"/>
      <c r="J11" s="40">
        <f>F11/2780744946771*100</f>
        <v>8.0709858435816684E-2</v>
      </c>
      <c r="L11" s="45">
        <f>'سایر درآمدها'!C10</f>
        <v>438117631</v>
      </c>
      <c r="M11" s="45">
        <f>'سایر درآمدها'!C10</f>
        <v>438117631</v>
      </c>
    </row>
    <row r="12" spans="1:18" ht="21.75" customHeight="1" thickBot="1">
      <c r="A12" s="106"/>
      <c r="B12" s="106"/>
      <c r="C12" s="35"/>
      <c r="D12" s="41"/>
      <c r="E12" s="35"/>
      <c r="F12" s="43">
        <f>SUM(F8:F11)</f>
        <v>1132193027510</v>
      </c>
      <c r="G12" s="35"/>
      <c r="H12" s="43">
        <f>SUM(H8:H11)</f>
        <v>100</v>
      </c>
      <c r="I12" s="35"/>
      <c r="J12" s="44">
        <f>SUM(J8:J11)</f>
        <v>99.618648578335325</v>
      </c>
      <c r="L12" s="53">
        <f>SUM(L8:L11)</f>
        <v>506827360920</v>
      </c>
      <c r="M12" s="45">
        <f>SUM(M8:M11)</f>
        <v>506827360920</v>
      </c>
    </row>
    <row r="13" spans="1:18" ht="13.5" thickTop="1">
      <c r="F13" s="45"/>
      <c r="L13" s="45">
        <v>467858349622</v>
      </c>
    </row>
    <row r="14" spans="1:18">
      <c r="F14" s="45"/>
      <c r="L14" s="53">
        <f>L12-L13</f>
        <v>38969011298</v>
      </c>
      <c r="M14" s="45">
        <v>506827360920</v>
      </c>
    </row>
    <row r="15" spans="1:18">
      <c r="F15" s="45"/>
      <c r="M15" s="45">
        <f>M12-M14</f>
        <v>0</v>
      </c>
    </row>
  </sheetData>
  <mergeCells count="10">
    <mergeCell ref="A1:J1"/>
    <mergeCell ref="A2:J2"/>
    <mergeCell ref="A3:J3"/>
    <mergeCell ref="B5:J5"/>
    <mergeCell ref="A7:B7"/>
    <mergeCell ref="A12:B12"/>
    <mergeCell ref="A8:B8"/>
    <mergeCell ref="A9:B9"/>
    <mergeCell ref="A10:B10"/>
    <mergeCell ref="A11:B11"/>
  </mergeCells>
  <pageMargins left="0.39" right="0.39" top="0.39" bottom="0.39" header="0" footer="0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U127"/>
  <sheetViews>
    <sheetView rightToLeft="1" view="pageBreakPreview" topLeftCell="A91" zoomScale="96" zoomScaleNormal="100" zoomScaleSheetLayoutView="96" workbookViewId="0">
      <selection activeCell="Q121" sqref="M121:Q129"/>
    </sheetView>
  </sheetViews>
  <sheetFormatPr defaultRowHeight="12.75"/>
  <cols>
    <col min="1" max="1" width="29.85546875" bestFit="1" customWidth="1"/>
    <col min="2" max="2" width="1.28515625" customWidth="1"/>
    <col min="3" max="3" width="14.85546875" bestFit="1" customWidth="1"/>
    <col min="4" max="4" width="1.28515625" customWidth="1"/>
    <col min="5" max="5" width="16.5703125" bestFit="1" customWidth="1"/>
    <col min="6" max="6" width="1.28515625" customWidth="1"/>
    <col min="7" max="7" width="16.5703125" bestFit="1" customWidth="1"/>
    <col min="8" max="8" width="1.28515625" customWidth="1"/>
    <col min="9" max="9" width="16.5703125" bestFit="1" customWidth="1"/>
    <col min="10" max="10" width="1.28515625" customWidth="1"/>
    <col min="11" max="11" width="17.28515625" bestFit="1" customWidth="1"/>
    <col min="12" max="12" width="1.28515625" customWidth="1"/>
    <col min="13" max="13" width="16.5703125" bestFit="1" customWidth="1"/>
    <col min="14" max="14" width="1.28515625" customWidth="1"/>
    <col min="15" max="15" width="16.7109375" bestFit="1" customWidth="1"/>
    <col min="16" max="16" width="1.28515625" customWidth="1"/>
    <col min="17" max="17" width="17.7109375" bestFit="1" customWidth="1"/>
    <col min="18" max="18" width="1.28515625" customWidth="1"/>
    <col min="19" max="19" width="16.7109375" bestFit="1" customWidth="1"/>
    <col min="20" max="20" width="1.28515625" customWidth="1"/>
    <col min="21" max="21" width="17.28515625" bestFit="1" customWidth="1"/>
    <col min="22" max="22" width="0.28515625" customWidth="1"/>
  </cols>
  <sheetData>
    <row r="1" spans="1:21" ht="29.1" customHeight="1">
      <c r="A1" s="95" t="str">
        <f>سهام!A1</f>
        <v>صندوق سرمایه گذاری افق دماوند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</row>
    <row r="2" spans="1:21" ht="21.75" customHeight="1">
      <c r="A2" s="95" t="s">
        <v>77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</row>
    <row r="3" spans="1:21" ht="21.75" customHeight="1">
      <c r="A3" s="95" t="str">
        <f>سهام!A3</f>
        <v>برای ماه منتهی به 1404/10/30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</row>
    <row r="4" spans="1:21" ht="14.45" customHeight="1"/>
    <row r="5" spans="1:21" ht="14.45" customHeight="1">
      <c r="A5" s="96" t="s">
        <v>244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</row>
    <row r="6" spans="1:21" ht="14.45" customHeight="1">
      <c r="C6" s="97" t="s">
        <v>92</v>
      </c>
      <c r="D6" s="97"/>
      <c r="E6" s="97"/>
      <c r="F6" s="97"/>
      <c r="G6" s="97"/>
      <c r="H6" s="97"/>
      <c r="I6" s="97"/>
      <c r="J6" s="97"/>
      <c r="K6" s="97"/>
      <c r="M6" s="97" t="s">
        <v>93</v>
      </c>
      <c r="N6" s="97"/>
      <c r="O6" s="97"/>
      <c r="P6" s="97"/>
      <c r="Q6" s="97"/>
      <c r="R6" s="97"/>
      <c r="S6" s="97"/>
      <c r="T6" s="97"/>
      <c r="U6" s="97"/>
    </row>
    <row r="7" spans="1:21" ht="14.45" customHeight="1">
      <c r="C7" s="3"/>
      <c r="D7" s="3"/>
      <c r="E7" s="3"/>
      <c r="F7" s="3"/>
      <c r="G7" s="3"/>
      <c r="H7" s="3"/>
      <c r="I7" s="98" t="s">
        <v>48</v>
      </c>
      <c r="J7" s="98"/>
      <c r="K7" s="98"/>
      <c r="M7" s="3"/>
      <c r="N7" s="3"/>
      <c r="O7" s="3"/>
      <c r="P7" s="3"/>
      <c r="Q7" s="3"/>
      <c r="R7" s="3"/>
      <c r="S7" s="98" t="s">
        <v>48</v>
      </c>
      <c r="T7" s="98"/>
      <c r="U7" s="98"/>
    </row>
    <row r="8" spans="1:21" ht="14.45" customHeight="1">
      <c r="A8" s="47" t="s">
        <v>94</v>
      </c>
      <c r="C8" s="2" t="s">
        <v>95</v>
      </c>
      <c r="E8" s="2" t="s">
        <v>96</v>
      </c>
      <c r="G8" s="2" t="s">
        <v>97</v>
      </c>
      <c r="I8" s="4" t="s">
        <v>74</v>
      </c>
      <c r="J8" s="3"/>
      <c r="K8" s="4" t="s">
        <v>82</v>
      </c>
      <c r="M8" s="2" t="s">
        <v>95</v>
      </c>
      <c r="N8" s="9"/>
      <c r="O8" s="47" t="s">
        <v>96</v>
      </c>
      <c r="P8" s="9"/>
      <c r="Q8" s="2" t="s">
        <v>97</v>
      </c>
      <c r="S8" s="4" t="s">
        <v>74</v>
      </c>
      <c r="T8" s="3"/>
      <c r="U8" s="4" t="s">
        <v>82</v>
      </c>
    </row>
    <row r="9" spans="1:21" ht="21.75" customHeight="1">
      <c r="A9" s="14" t="s">
        <v>109</v>
      </c>
      <c r="C9" s="56">
        <v>0</v>
      </c>
      <c r="D9" s="56"/>
      <c r="E9" s="56">
        <v>0</v>
      </c>
      <c r="F9" s="56"/>
      <c r="G9" s="56">
        <f>VLOOKUP(A9,'درآمد ناشی از فروش'!A:Q,9,0)</f>
        <v>0</v>
      </c>
      <c r="H9" s="56"/>
      <c r="I9" s="56">
        <f>C9+E9+G9</f>
        <v>0</v>
      </c>
      <c r="J9" s="56"/>
      <c r="K9" s="59">
        <f>I9/درآمد!$M$12*100</f>
        <v>0</v>
      </c>
      <c r="L9" s="56"/>
      <c r="M9" s="56">
        <f>VLOOKUP(A9,'درآمد سود سهام'!A:S,15,0)</f>
        <v>22000000</v>
      </c>
      <c r="N9" s="56"/>
      <c r="O9" s="56">
        <v>0</v>
      </c>
      <c r="P9" s="56"/>
      <c r="Q9" s="56">
        <f>VLOOKUP(A9,'درآمد ناشی از فروش'!A:Q,17,0)</f>
        <v>-138014470</v>
      </c>
      <c r="R9" s="56"/>
      <c r="S9" s="56">
        <f>M9+O9+Q9</f>
        <v>-116014470</v>
      </c>
      <c r="U9" s="59">
        <f>S9/درآمد!$F$12*100</f>
        <v>-1.0246880803986872E-2</v>
      </c>
    </row>
    <row r="10" spans="1:21" ht="21.75" customHeight="1">
      <c r="A10" s="14" t="s">
        <v>99</v>
      </c>
      <c r="C10" s="56">
        <v>0</v>
      </c>
      <c r="D10" s="56"/>
      <c r="E10" s="56">
        <v>0</v>
      </c>
      <c r="F10" s="56"/>
      <c r="G10" s="56">
        <f>VLOOKUP(A10,'درآمد ناشی از فروش'!A:Q,9,0)</f>
        <v>0</v>
      </c>
      <c r="H10" s="56"/>
      <c r="I10" s="56">
        <f t="shared" ref="I10:I72" si="0">C10+E10+G10</f>
        <v>0</v>
      </c>
      <c r="J10" s="56"/>
      <c r="K10" s="59">
        <f>I10/درآمد!$M$12*100</f>
        <v>0</v>
      </c>
      <c r="L10" s="56"/>
      <c r="M10" s="56">
        <f>VLOOKUP(A10,'درآمد سود سهام'!A:S,15,0)</f>
        <v>118597745</v>
      </c>
      <c r="N10" s="56"/>
      <c r="O10" s="56">
        <v>0</v>
      </c>
      <c r="P10" s="56"/>
      <c r="Q10" s="56">
        <f>VLOOKUP(A10,'درآمد ناشی از فروش'!A:Q,17,0)</f>
        <v>-2317738595</v>
      </c>
      <c r="R10" s="56"/>
      <c r="S10" s="56">
        <f t="shared" ref="S10:S73" si="1">M10+O10+Q10</f>
        <v>-2199140850</v>
      </c>
      <c r="U10" s="59">
        <f>S10/درآمد!$F$12*100</f>
        <v>-0.19423727196381946</v>
      </c>
    </row>
    <row r="11" spans="1:21" ht="21.75" customHeight="1">
      <c r="A11" s="14" t="s">
        <v>122</v>
      </c>
      <c r="C11" s="56">
        <v>0</v>
      </c>
      <c r="D11" s="56"/>
      <c r="E11" s="56">
        <v>0</v>
      </c>
      <c r="F11" s="56"/>
      <c r="G11" s="56">
        <f>VLOOKUP(A11,'درآمد ناشی از فروش'!A:Q,9,0)</f>
        <v>0</v>
      </c>
      <c r="H11" s="56"/>
      <c r="I11" s="56">
        <f t="shared" si="0"/>
        <v>0</v>
      </c>
      <c r="J11" s="56"/>
      <c r="K11" s="59">
        <f>I11/درآمد!$M$12*100</f>
        <v>0</v>
      </c>
      <c r="L11" s="56"/>
      <c r="M11" s="56">
        <f>VLOOKUP(A11,'درآمد سود سهام'!A:S,15,0)</f>
        <v>700000000</v>
      </c>
      <c r="N11" s="56"/>
      <c r="O11" s="56">
        <v>0</v>
      </c>
      <c r="P11" s="56"/>
      <c r="Q11" s="56">
        <f>VLOOKUP(A11,'درآمد ناشی از فروش'!A:Q,17,0)</f>
        <v>1209353338</v>
      </c>
      <c r="R11" s="56"/>
      <c r="S11" s="56">
        <f t="shared" si="1"/>
        <v>1909353338</v>
      </c>
      <c r="U11" s="59">
        <f>S11/درآمد!$F$12*100</f>
        <v>0.16864203290486487</v>
      </c>
    </row>
    <row r="12" spans="1:21" ht="21.75" customHeight="1">
      <c r="A12" s="14" t="s">
        <v>117</v>
      </c>
      <c r="C12" s="56">
        <v>0</v>
      </c>
      <c r="D12" s="56"/>
      <c r="E12" s="56">
        <v>0</v>
      </c>
      <c r="F12" s="56"/>
      <c r="G12" s="56">
        <f>VLOOKUP(A12,'درآمد ناشی از فروش'!A:Q,9,0)</f>
        <v>0</v>
      </c>
      <c r="H12" s="56"/>
      <c r="I12" s="56">
        <f t="shared" si="0"/>
        <v>0</v>
      </c>
      <c r="J12" s="56"/>
      <c r="K12" s="59">
        <f>I12/درآمد!$M$12*100</f>
        <v>0</v>
      </c>
      <c r="L12" s="56"/>
      <c r="M12" s="56">
        <f>VLOOKUP(A12,'درآمد سود سهام'!A:S,15,0)</f>
        <v>2792012370</v>
      </c>
      <c r="N12" s="56"/>
      <c r="O12" s="56">
        <v>0</v>
      </c>
      <c r="P12" s="56"/>
      <c r="Q12" s="56">
        <f>VLOOKUP(A12,'درآمد ناشی از فروش'!A:Q,17,0)</f>
        <v>-52594708674</v>
      </c>
      <c r="R12" s="56"/>
      <c r="S12" s="56">
        <f t="shared" si="1"/>
        <v>-49802696304</v>
      </c>
      <c r="U12" s="59">
        <f>S12/درآمد!$F$12*100</f>
        <v>-4.3987813998050891</v>
      </c>
    </row>
    <row r="13" spans="1:21" ht="21.75" customHeight="1">
      <c r="A13" s="14" t="s">
        <v>126</v>
      </c>
      <c r="C13" s="56">
        <v>0</v>
      </c>
      <c r="D13" s="56"/>
      <c r="E13" s="56">
        <v>0</v>
      </c>
      <c r="F13" s="56"/>
      <c r="G13" s="56">
        <v>0</v>
      </c>
      <c r="H13" s="56"/>
      <c r="I13" s="56">
        <f t="shared" si="0"/>
        <v>0</v>
      </c>
      <c r="J13" s="56"/>
      <c r="K13" s="59">
        <f>I13/درآمد!$M$12*100</f>
        <v>0</v>
      </c>
      <c r="L13" s="56"/>
      <c r="M13" s="56">
        <f>VLOOKUP(A13,'درآمد سود سهام'!A:S,15,0)</f>
        <v>2964000000</v>
      </c>
      <c r="N13" s="56"/>
      <c r="O13" s="56">
        <v>0</v>
      </c>
      <c r="P13" s="56"/>
      <c r="Q13" s="56">
        <v>0</v>
      </c>
      <c r="R13" s="56"/>
      <c r="S13" s="56">
        <f t="shared" si="1"/>
        <v>2964000000</v>
      </c>
      <c r="U13" s="59">
        <f>S13/درآمد!$F$12*100</f>
        <v>0.26179281518087433</v>
      </c>
    </row>
    <row r="14" spans="1:21" ht="21.75" customHeight="1">
      <c r="A14" s="14" t="s">
        <v>17</v>
      </c>
      <c r="C14" s="56">
        <v>0</v>
      </c>
      <c r="D14" s="56"/>
      <c r="E14" s="56">
        <v>0</v>
      </c>
      <c r="F14" s="56"/>
      <c r="G14" s="56">
        <f>VLOOKUP(A14,'درآمد ناشی از فروش'!A:Q,9,0)</f>
        <v>594943211</v>
      </c>
      <c r="H14" s="56"/>
      <c r="I14" s="56">
        <f t="shared" si="0"/>
        <v>594943211</v>
      </c>
      <c r="J14" s="56"/>
      <c r="K14" s="59">
        <f>I14/درآمد!$M$12*100</f>
        <v>0.11738577213354284</v>
      </c>
      <c r="L14" s="56"/>
      <c r="M14" s="56">
        <f>VLOOKUP(A14,'درآمد سود سهام'!A:S,15,0)</f>
        <v>1100000000</v>
      </c>
      <c r="N14" s="56"/>
      <c r="O14" s="56">
        <v>0</v>
      </c>
      <c r="P14" s="56"/>
      <c r="Q14" s="56">
        <f>VLOOKUP(A14,'درآمد ناشی از فروش'!A:Q,17,0)</f>
        <v>-3978749090</v>
      </c>
      <c r="R14" s="56"/>
      <c r="S14" s="56">
        <f t="shared" si="1"/>
        <v>-2878749090</v>
      </c>
      <c r="U14" s="59">
        <f>S14/درآمد!$F$12*100</f>
        <v>-0.25426310002377872</v>
      </c>
    </row>
    <row r="15" spans="1:21" ht="21.75" customHeight="1">
      <c r="A15" s="14" t="s">
        <v>18</v>
      </c>
      <c r="C15" s="56">
        <v>0</v>
      </c>
      <c r="D15" s="56"/>
      <c r="E15" s="56">
        <f>VLOOKUP(A15,'درآمد ناشی از تغییر قیمت اوراق'!A:Q,9,0)</f>
        <v>25129886827</v>
      </c>
      <c r="F15" s="56"/>
      <c r="G15" s="56">
        <f>VLOOKUP(A15,'درآمد ناشی از فروش'!A:Q,9,0)</f>
        <v>0</v>
      </c>
      <c r="H15" s="56"/>
      <c r="I15" s="56">
        <f t="shared" si="0"/>
        <v>25129886827</v>
      </c>
      <c r="J15" s="56"/>
      <c r="K15" s="59">
        <f>I15/درآمد!$M$12*100</f>
        <v>4.9582735196821037</v>
      </c>
      <c r="L15" s="56"/>
      <c r="M15" s="56">
        <f>VLOOKUP(A15,'درآمد سود سهام'!A:S,15,0)</f>
        <v>832000000</v>
      </c>
      <c r="N15" s="56"/>
      <c r="O15" s="56">
        <f>VLOOKUP(A15,'درآمد ناشی از تغییر قیمت اوراق'!A:Q,17,0)</f>
        <v>42419509539</v>
      </c>
      <c r="P15" s="56"/>
      <c r="Q15" s="56">
        <f>VLOOKUP(A15,'درآمد ناشی از فروش'!A:Q,17,0)</f>
        <v>72870847</v>
      </c>
      <c r="R15" s="56"/>
      <c r="S15" s="56">
        <f t="shared" si="1"/>
        <v>43324380386</v>
      </c>
      <c r="U15" s="59">
        <f>S15/درآمد!$F$12*100</f>
        <v>3.8265895773340066</v>
      </c>
    </row>
    <row r="16" spans="1:21" ht="21.75" customHeight="1">
      <c r="A16" s="14" t="s">
        <v>19</v>
      </c>
      <c r="C16" s="56">
        <v>0</v>
      </c>
      <c r="D16" s="56"/>
      <c r="E16" s="56">
        <f>VLOOKUP(A16,'درآمد ناشی از تغییر قیمت اوراق'!A:Q,9,0)</f>
        <v>105067703761</v>
      </c>
      <c r="F16" s="56"/>
      <c r="G16" s="56">
        <f>VLOOKUP(A16,'درآمد ناشی از فروش'!A:Q,9,0)</f>
        <v>14123994329</v>
      </c>
      <c r="H16" s="56"/>
      <c r="I16" s="56">
        <f t="shared" si="0"/>
        <v>119191698090</v>
      </c>
      <c r="J16" s="56"/>
      <c r="K16" s="59">
        <f>I16/درآمد!$M$12*100</f>
        <v>23.517218540380615</v>
      </c>
      <c r="L16" s="56"/>
      <c r="M16" s="56">
        <v>29662362000</v>
      </c>
      <c r="N16" s="56"/>
      <c r="O16" s="56">
        <f>VLOOKUP(A16,'درآمد ناشی از تغییر قیمت اوراق'!A:Q,17,0)</f>
        <v>181880904580</v>
      </c>
      <c r="P16" s="56"/>
      <c r="Q16" s="56">
        <f>VLOOKUP(A16,'درآمد ناشی از فروش'!A:Q,17,0)</f>
        <v>15677641806</v>
      </c>
      <c r="R16" s="56"/>
      <c r="S16" s="56">
        <f t="shared" si="1"/>
        <v>227220908386</v>
      </c>
      <c r="U16" s="59">
        <f>S16/درآمد!$F$12*100</f>
        <v>20.069096246398946</v>
      </c>
    </row>
    <row r="17" spans="1:21" ht="21.75" customHeight="1">
      <c r="A17" s="14" t="s">
        <v>20</v>
      </c>
      <c r="C17" s="56">
        <v>0</v>
      </c>
      <c r="D17" s="56"/>
      <c r="E17" s="56">
        <f>VLOOKUP(A17,'درآمد ناشی از تغییر قیمت اوراق'!A:Q,9,0)</f>
        <v>-3427839492</v>
      </c>
      <c r="F17" s="56"/>
      <c r="G17" s="56">
        <f>VLOOKUP(A17,'درآمد ناشی از فروش'!A:Q,9,0)</f>
        <v>10498187425</v>
      </c>
      <c r="H17" s="56"/>
      <c r="I17" s="56">
        <f t="shared" si="0"/>
        <v>7070347933</v>
      </c>
      <c r="J17" s="56"/>
      <c r="K17" s="59">
        <f>I17/درآمد!$M$12*100</f>
        <v>1.3950209633840223</v>
      </c>
      <c r="L17" s="56"/>
      <c r="M17" s="56">
        <f>VLOOKUP(A17,'درآمد سود سهام'!A:S,15,0)</f>
        <v>1555392560</v>
      </c>
      <c r="N17" s="56"/>
      <c r="O17" s="56">
        <f>VLOOKUP(A17,'درآمد ناشی از تغییر قیمت اوراق'!A:Q,17,0)</f>
        <v>17416595446</v>
      </c>
      <c r="P17" s="56"/>
      <c r="Q17" s="56">
        <f>VLOOKUP(A17,'درآمد ناشی از فروش'!A:Q,17,0)</f>
        <v>10393678614</v>
      </c>
      <c r="R17" s="56"/>
      <c r="S17" s="56">
        <f t="shared" si="1"/>
        <v>29365666620</v>
      </c>
      <c r="U17" s="59">
        <f>S17/درآمد!$F$12*100</f>
        <v>2.5936978860029791</v>
      </c>
    </row>
    <row r="18" spans="1:21" ht="21.75" customHeight="1">
      <c r="A18" s="14" t="s">
        <v>125</v>
      </c>
      <c r="C18" s="56">
        <v>0</v>
      </c>
      <c r="D18" s="56"/>
      <c r="E18" s="56">
        <v>0</v>
      </c>
      <c r="F18" s="56"/>
      <c r="G18" s="56">
        <f>VLOOKUP(A18,'درآمد ناشی از فروش'!A:Q,9,0)</f>
        <v>0</v>
      </c>
      <c r="H18" s="56"/>
      <c r="I18" s="56">
        <f t="shared" si="0"/>
        <v>0</v>
      </c>
      <c r="J18" s="56"/>
      <c r="K18" s="59">
        <f>I18/درآمد!$M$12*100</f>
        <v>0</v>
      </c>
      <c r="L18" s="56"/>
      <c r="M18" s="56">
        <f>VLOOKUP(A18,'درآمد سود سهام'!A:S,15,0)</f>
        <v>3484257000</v>
      </c>
      <c r="N18" s="56"/>
      <c r="O18" s="56">
        <v>0</v>
      </c>
      <c r="P18" s="56"/>
      <c r="Q18" s="56">
        <f>VLOOKUP(A18,'درآمد ناشی از فروش'!A:Q,17,0)</f>
        <v>-16276865762</v>
      </c>
      <c r="R18" s="56"/>
      <c r="S18" s="56">
        <f t="shared" si="1"/>
        <v>-12792608762</v>
      </c>
      <c r="U18" s="59">
        <f>S18/درآمد!$F$12*100</f>
        <v>-1.129896444437078</v>
      </c>
    </row>
    <row r="19" spans="1:21" ht="21.75" customHeight="1">
      <c r="A19" s="14" t="s">
        <v>21</v>
      </c>
      <c r="C19" s="56">
        <v>0</v>
      </c>
      <c r="D19" s="56"/>
      <c r="E19" s="56">
        <f>VLOOKUP(A19,'درآمد ناشی از تغییر قیمت اوراق'!A:Q,9,0)</f>
        <v>3085515709</v>
      </c>
      <c r="F19" s="56"/>
      <c r="G19" s="56">
        <f>VLOOKUP(A19,'درآمد ناشی از فروش'!A:Q,9,0)</f>
        <v>0</v>
      </c>
      <c r="H19" s="56"/>
      <c r="I19" s="56">
        <f t="shared" si="0"/>
        <v>3085515709</v>
      </c>
      <c r="J19" s="56"/>
      <c r="K19" s="59">
        <f>I19/درآمد!$M$12*100</f>
        <v>0.60879027986948642</v>
      </c>
      <c r="L19" s="56"/>
      <c r="M19" s="56">
        <f>VLOOKUP(A19,'درآمد سود سهام'!A:S,15,0)</f>
        <v>4397983000</v>
      </c>
      <c r="N19" s="56"/>
      <c r="O19" s="56">
        <f>VLOOKUP(A19,'درآمد ناشی از تغییر قیمت اوراق'!A:Q,17,0)</f>
        <v>5982980402</v>
      </c>
      <c r="P19" s="56"/>
      <c r="Q19" s="56">
        <f>VLOOKUP(A19,'درآمد ناشی از فروش'!A:Q,17,0)</f>
        <v>-22387975</v>
      </c>
      <c r="R19" s="56"/>
      <c r="S19" s="56">
        <f t="shared" si="1"/>
        <v>10358575427</v>
      </c>
      <c r="U19" s="59">
        <f>S19/درآمد!$F$12*100</f>
        <v>0.91491249065376434</v>
      </c>
    </row>
    <row r="20" spans="1:21" ht="21.75" customHeight="1">
      <c r="A20" s="14" t="s">
        <v>22</v>
      </c>
      <c r="C20" s="56">
        <v>0</v>
      </c>
      <c r="D20" s="56"/>
      <c r="E20" s="56">
        <f>VLOOKUP(A20,'درآمد ناشی از تغییر قیمت اوراق'!A:Q,9,0)</f>
        <v>37241690183</v>
      </c>
      <c r="F20" s="56"/>
      <c r="G20" s="56">
        <f>VLOOKUP(A20,'درآمد ناشی از فروش'!A:Q,9,0)</f>
        <v>2678305508</v>
      </c>
      <c r="H20" s="56"/>
      <c r="I20" s="56">
        <f t="shared" si="0"/>
        <v>39919995691</v>
      </c>
      <c r="J20" s="56"/>
      <c r="K20" s="59">
        <f>I20/درآمد!$M$12*100</f>
        <v>7.8764484258578058</v>
      </c>
      <c r="L20" s="56"/>
      <c r="M20" s="56">
        <f>VLOOKUP(A20,'درآمد سود سهام'!A:S,15,0)</f>
        <v>11856568400</v>
      </c>
      <c r="N20" s="56"/>
      <c r="O20" s="56">
        <f>VLOOKUP(A20,'درآمد ناشی از تغییر قیمت اوراق'!A:Q,17,0)</f>
        <v>75808679769</v>
      </c>
      <c r="P20" s="56"/>
      <c r="Q20" s="56">
        <f>VLOOKUP(A20,'درآمد ناشی از فروش'!A:Q,17,0)</f>
        <v>8194276979</v>
      </c>
      <c r="R20" s="56"/>
      <c r="S20" s="56">
        <f t="shared" si="1"/>
        <v>95859525148</v>
      </c>
      <c r="U20" s="59">
        <f>S20/درآمد!$F$12*100</f>
        <v>8.4667121964901284</v>
      </c>
    </row>
    <row r="21" spans="1:21" ht="21.75" customHeight="1">
      <c r="A21" s="14" t="s">
        <v>24</v>
      </c>
      <c r="C21" s="56">
        <v>0</v>
      </c>
      <c r="D21" s="56"/>
      <c r="E21" s="56">
        <f>VLOOKUP(A21,'درآمد ناشی از تغییر قیمت اوراق'!A:Q,9,0)</f>
        <v>28907370213</v>
      </c>
      <c r="F21" s="56"/>
      <c r="G21" s="56">
        <f>VLOOKUP(A21,'درآمد ناشی از فروش'!A:Q,9,0)</f>
        <v>0</v>
      </c>
      <c r="H21" s="56"/>
      <c r="I21" s="56">
        <f t="shared" si="0"/>
        <v>28907370213</v>
      </c>
      <c r="J21" s="56"/>
      <c r="K21" s="59">
        <f>I21/درآمد!$M$12*100</f>
        <v>5.7035930657979756</v>
      </c>
      <c r="L21" s="56"/>
      <c r="M21" s="56">
        <f>VLOOKUP(A21,'درآمد سود سهام'!A:S,15,0)</f>
        <v>9408855008</v>
      </c>
      <c r="N21" s="56"/>
      <c r="O21" s="56">
        <f>VLOOKUP(A21,'درآمد ناشی از تغییر قیمت اوراق'!A:Q,17,0)</f>
        <v>40476780046</v>
      </c>
      <c r="P21" s="56"/>
      <c r="Q21" s="56">
        <f>VLOOKUP(A21,'درآمد ناشی از فروش'!A:Q,17,0)</f>
        <v>3660720222</v>
      </c>
      <c r="R21" s="56"/>
      <c r="S21" s="56">
        <f t="shared" si="1"/>
        <v>53546355276</v>
      </c>
      <c r="U21" s="59">
        <f>S21/درآمد!$F$12*100</f>
        <v>4.7294369400739891</v>
      </c>
    </row>
    <row r="22" spans="1:21" ht="21.75" customHeight="1">
      <c r="A22" s="14" t="s">
        <v>102</v>
      </c>
      <c r="C22" s="56">
        <v>0</v>
      </c>
      <c r="D22" s="56"/>
      <c r="E22" s="56">
        <v>0</v>
      </c>
      <c r="F22" s="56"/>
      <c r="G22" s="56">
        <f>VLOOKUP(A22,'درآمد ناشی از فروش'!A:Q,9,0)</f>
        <v>0</v>
      </c>
      <c r="H22" s="56"/>
      <c r="I22" s="56">
        <f t="shared" si="0"/>
        <v>0</v>
      </c>
      <c r="J22" s="56"/>
      <c r="K22" s="59">
        <f>I22/درآمد!$M$12*100</f>
        <v>0</v>
      </c>
      <c r="L22" s="56"/>
      <c r="M22" s="56">
        <f>VLOOKUP(A22,'درآمد سود سهام'!A:S,15,0)</f>
        <v>5971559400</v>
      </c>
      <c r="N22" s="56"/>
      <c r="O22" s="56">
        <v>0</v>
      </c>
      <c r="P22" s="56"/>
      <c r="Q22" s="56">
        <f>VLOOKUP(A22,'درآمد ناشی از فروش'!A:Q,17,0)</f>
        <v>-1079766932</v>
      </c>
      <c r="R22" s="56"/>
      <c r="S22" s="56">
        <f t="shared" si="1"/>
        <v>4891792468</v>
      </c>
      <c r="U22" s="59">
        <f>S22/درآمد!$F$12*100</f>
        <v>0.43206346878485735</v>
      </c>
    </row>
    <row r="23" spans="1:21" ht="21.75" customHeight="1">
      <c r="A23" s="14" t="s">
        <v>127</v>
      </c>
      <c r="C23" s="56">
        <v>0</v>
      </c>
      <c r="D23" s="56"/>
      <c r="E23" s="56">
        <v>0</v>
      </c>
      <c r="F23" s="56"/>
      <c r="G23" s="56">
        <f>VLOOKUP(A23,'درآمد ناشی از فروش'!A:Q,9,0)</f>
        <v>0</v>
      </c>
      <c r="H23" s="56"/>
      <c r="I23" s="56">
        <f t="shared" si="0"/>
        <v>0</v>
      </c>
      <c r="J23" s="56"/>
      <c r="K23" s="59">
        <f>I23/درآمد!$M$12*100</f>
        <v>0</v>
      </c>
      <c r="L23" s="56"/>
      <c r="M23" s="56">
        <f>VLOOKUP(A23,'درآمد سود سهام'!A:S,15,0)</f>
        <v>1485120000</v>
      </c>
      <c r="N23" s="56"/>
      <c r="O23" s="56">
        <v>0</v>
      </c>
      <c r="P23" s="56"/>
      <c r="Q23" s="56">
        <f>VLOOKUP(A23,'درآمد ناشی از فروش'!A:Q,17,0)</f>
        <v>-3586550166</v>
      </c>
      <c r="R23" s="56"/>
      <c r="S23" s="56">
        <f t="shared" si="1"/>
        <v>-2101430166</v>
      </c>
      <c r="U23" s="59">
        <f>S23/درآمد!$F$12*100</f>
        <v>-0.18560705771361405</v>
      </c>
    </row>
    <row r="24" spans="1:21" ht="21.75" customHeight="1">
      <c r="A24" s="14" t="s">
        <v>28</v>
      </c>
      <c r="C24" s="56">
        <v>0</v>
      </c>
      <c r="D24" s="56"/>
      <c r="E24" s="56">
        <f>VLOOKUP(A24,'درآمد ناشی از تغییر قیمت اوراق'!A:Q,9,0)</f>
        <v>1456666549</v>
      </c>
      <c r="F24" s="56"/>
      <c r="G24" s="56">
        <f>VLOOKUP(A24,'درآمد ناشی از فروش'!A:Q,9,0)</f>
        <v>0</v>
      </c>
      <c r="H24" s="56"/>
      <c r="I24" s="56">
        <f t="shared" si="0"/>
        <v>1456666549</v>
      </c>
      <c r="J24" s="56"/>
      <c r="K24" s="59">
        <f>I24/درآمد!$M$12*100</f>
        <v>0.28740882227743958</v>
      </c>
      <c r="L24" s="56"/>
      <c r="M24" s="56">
        <f>VLOOKUP(A24,'درآمد سود سهام'!A:S,15,0)</f>
        <v>4898181250</v>
      </c>
      <c r="N24" s="56"/>
      <c r="O24" s="56">
        <f>VLOOKUP(A24,'درآمد ناشی از تغییر قیمت اوراق'!A:Q,17,0)</f>
        <v>6326176169</v>
      </c>
      <c r="P24" s="56"/>
      <c r="Q24" s="56">
        <f>VLOOKUP(A24,'درآمد ناشی از فروش'!A:Q,17,0)</f>
        <v>911473992</v>
      </c>
      <c r="R24" s="56"/>
      <c r="S24" s="56">
        <f t="shared" si="1"/>
        <v>12135831411</v>
      </c>
      <c r="U24" s="59">
        <f>S24/درآمد!$F$12*100</f>
        <v>1.0718871355081554</v>
      </c>
    </row>
    <row r="25" spans="1:21" ht="21.75" customHeight="1">
      <c r="A25" s="14" t="s">
        <v>26</v>
      </c>
      <c r="C25" s="56">
        <v>0</v>
      </c>
      <c r="D25" s="56"/>
      <c r="E25" s="56">
        <f>VLOOKUP(A25,'درآمد ناشی از تغییر قیمت اوراق'!A:Q,9,0)</f>
        <v>16027768112</v>
      </c>
      <c r="F25" s="56"/>
      <c r="G25" s="56">
        <f>VLOOKUP(A25,'درآمد ناشی از فروش'!A:Q,9,0)</f>
        <v>2107176172</v>
      </c>
      <c r="H25" s="56"/>
      <c r="I25" s="56">
        <f t="shared" si="0"/>
        <v>18134944284</v>
      </c>
      <c r="J25" s="56"/>
      <c r="K25" s="59">
        <f>I25/درآمد!$M$12*100</f>
        <v>3.5781304803831424</v>
      </c>
      <c r="L25" s="56"/>
      <c r="M25" s="56">
        <f>VLOOKUP(A25,'درآمد سود سهام'!A:S,15,0)</f>
        <v>23406704000</v>
      </c>
      <c r="N25" s="56"/>
      <c r="O25" s="56">
        <f>VLOOKUP(A25,'درآمد ناشی از تغییر قیمت اوراق'!A:Q,17,0)</f>
        <v>31204060143</v>
      </c>
      <c r="P25" s="56"/>
      <c r="Q25" s="56">
        <f>VLOOKUP(A25,'درآمد ناشی از فروش'!A:Q,17,0)</f>
        <v>-6732708077</v>
      </c>
      <c r="R25" s="56"/>
      <c r="S25" s="56">
        <f t="shared" si="1"/>
        <v>47878056066</v>
      </c>
      <c r="U25" s="59">
        <f>S25/درآمد!$F$12*100</f>
        <v>4.2287891642732385</v>
      </c>
    </row>
    <row r="26" spans="1:21" ht="21.75" customHeight="1">
      <c r="A26" s="14" t="s">
        <v>27</v>
      </c>
      <c r="C26" s="56">
        <v>0</v>
      </c>
      <c r="D26" s="56"/>
      <c r="E26" s="56">
        <f>VLOOKUP(A26,'درآمد ناشی از تغییر قیمت اوراق'!A:Q,9,0)</f>
        <v>26989744</v>
      </c>
      <c r="F26" s="56"/>
      <c r="G26" s="56">
        <f>VLOOKUP(A26,'درآمد ناشی از فروش'!A:Q,9,0)</f>
        <v>0</v>
      </c>
      <c r="H26" s="56"/>
      <c r="I26" s="56">
        <f t="shared" si="0"/>
        <v>26989744</v>
      </c>
      <c r="J26" s="56"/>
      <c r="K26" s="59">
        <f>I26/درآمد!$M$12*100</f>
        <v>5.3252342081547936E-3</v>
      </c>
      <c r="L26" s="56"/>
      <c r="M26" s="56">
        <f>VLOOKUP(A26,'درآمد سود سهام'!A:S,15,0)</f>
        <v>1687021750</v>
      </c>
      <c r="N26" s="56"/>
      <c r="O26" s="56">
        <f>VLOOKUP(A26,'درآمد ناشی از تغییر قیمت اوراق'!A:Q,17,0)</f>
        <v>-754113502</v>
      </c>
      <c r="P26" s="56"/>
      <c r="Q26" s="56">
        <f>VLOOKUP(A26,'درآمد ناشی از فروش'!A:Q,17,0)</f>
        <v>-48853520959</v>
      </c>
      <c r="R26" s="56"/>
      <c r="S26" s="56">
        <f t="shared" si="1"/>
        <v>-47920612711</v>
      </c>
      <c r="U26" s="59">
        <f>S26/درآمد!$F$12*100</f>
        <v>-4.2325479442662211</v>
      </c>
    </row>
    <row r="27" spans="1:21" ht="21.75" customHeight="1">
      <c r="A27" s="14" t="s">
        <v>29</v>
      </c>
      <c r="C27" s="56">
        <v>0</v>
      </c>
      <c r="D27" s="56"/>
      <c r="E27" s="56">
        <f>VLOOKUP(A27,'درآمد ناشی از تغییر قیمت اوراق'!A:Q,9,0)</f>
        <v>-40998701</v>
      </c>
      <c r="F27" s="56"/>
      <c r="G27" s="56">
        <f>VLOOKUP(A27,'درآمد ناشی از فروش'!A:Q,9,0)</f>
        <v>0</v>
      </c>
      <c r="H27" s="56"/>
      <c r="I27" s="56">
        <f t="shared" si="0"/>
        <v>-40998701</v>
      </c>
      <c r="J27" s="56"/>
      <c r="K27" s="59">
        <f>I27/درآمد!$M$12*100</f>
        <v>-8.0892832868333306E-3</v>
      </c>
      <c r="L27" s="56"/>
      <c r="M27" s="56">
        <f>VLOOKUP(A27,'درآمد سود سهام'!A:S,15,0)</f>
        <v>6054619800</v>
      </c>
      <c r="N27" s="56"/>
      <c r="O27" s="56">
        <f>VLOOKUP(A27,'درآمد ناشی از تغییر قیمت اوراق'!A:Q,17,0)</f>
        <v>-479986114</v>
      </c>
      <c r="P27" s="56"/>
      <c r="Q27" s="56">
        <f>VLOOKUP(A27,'درآمد ناشی از فروش'!A:Q,17,0)</f>
        <v>-25772504513</v>
      </c>
      <c r="R27" s="56"/>
      <c r="S27" s="56">
        <f t="shared" si="1"/>
        <v>-20197870827</v>
      </c>
      <c r="U27" s="59">
        <f>S27/درآمد!$F$12*100</f>
        <v>-1.7839600082523566</v>
      </c>
    </row>
    <row r="28" spans="1:21" ht="21.75" customHeight="1">
      <c r="A28" s="14" t="s">
        <v>31</v>
      </c>
      <c r="C28" s="56">
        <v>0</v>
      </c>
      <c r="D28" s="56"/>
      <c r="E28" s="56">
        <v>0</v>
      </c>
      <c r="F28" s="56"/>
      <c r="G28" s="56">
        <f>VLOOKUP(A28,'درآمد ناشی از فروش'!A:Q,9,0)</f>
        <v>0</v>
      </c>
      <c r="H28" s="56"/>
      <c r="I28" s="56">
        <f t="shared" si="0"/>
        <v>0</v>
      </c>
      <c r="J28" s="56"/>
      <c r="K28" s="59">
        <f>I28/درآمد!$M$12*100</f>
        <v>0</v>
      </c>
      <c r="L28" s="56"/>
      <c r="M28" s="56">
        <f>VLOOKUP(A28,'درآمد سود سهام'!A:S,15,0)</f>
        <v>6380100440</v>
      </c>
      <c r="N28" s="56"/>
      <c r="O28" s="56">
        <v>0</v>
      </c>
      <c r="P28" s="56"/>
      <c r="Q28" s="56">
        <f>VLOOKUP(A28,'درآمد ناشی از فروش'!A:Q,17,0)</f>
        <v>-43045105629</v>
      </c>
      <c r="R28" s="56"/>
      <c r="S28" s="56">
        <f t="shared" si="1"/>
        <v>-36665005189</v>
      </c>
      <c r="U28" s="59">
        <f>S28/درآمد!$F$12*100</f>
        <v>-3.2384058458332241</v>
      </c>
    </row>
    <row r="29" spans="1:21" ht="21.75" customHeight="1">
      <c r="A29" s="14" t="s">
        <v>100</v>
      </c>
      <c r="C29" s="56">
        <v>0</v>
      </c>
      <c r="D29" s="56"/>
      <c r="E29" s="56">
        <v>0</v>
      </c>
      <c r="F29" s="56"/>
      <c r="G29" s="56">
        <f>VLOOKUP(A29,'درآمد ناشی از فروش'!A:Q,9,0)</f>
        <v>0</v>
      </c>
      <c r="H29" s="56"/>
      <c r="I29" s="56">
        <f t="shared" si="0"/>
        <v>0</v>
      </c>
      <c r="J29" s="56"/>
      <c r="K29" s="59">
        <f>I29/درآمد!$M$12*100</f>
        <v>0</v>
      </c>
      <c r="L29" s="56"/>
      <c r="M29" s="56">
        <f>VLOOKUP(A29,'درآمد سود سهام'!A:S,15,0)</f>
        <v>1321140</v>
      </c>
      <c r="N29" s="56"/>
      <c r="O29" s="56">
        <v>0</v>
      </c>
      <c r="P29" s="56"/>
      <c r="Q29" s="56">
        <f>VLOOKUP(A29,'درآمد ناشی از فروش'!A:Q,17,0)</f>
        <v>20498</v>
      </c>
      <c r="R29" s="56"/>
      <c r="S29" s="56">
        <f t="shared" si="1"/>
        <v>1341638</v>
      </c>
      <c r="U29" s="59">
        <f>S29/درآمد!$F$12*100</f>
        <v>1.184990516105391E-4</v>
      </c>
    </row>
    <row r="30" spans="1:21" ht="21.75" customHeight="1">
      <c r="A30" s="14" t="s">
        <v>121</v>
      </c>
      <c r="C30" s="56">
        <v>0</v>
      </c>
      <c r="D30" s="56"/>
      <c r="E30" s="56">
        <v>0</v>
      </c>
      <c r="F30" s="56"/>
      <c r="G30" s="56">
        <f>VLOOKUP(A30,'درآمد ناشی از فروش'!A:Q,9,0)</f>
        <v>0</v>
      </c>
      <c r="H30" s="56"/>
      <c r="I30" s="56">
        <f t="shared" si="0"/>
        <v>0</v>
      </c>
      <c r="J30" s="56"/>
      <c r="K30" s="59">
        <f>I30/درآمد!$M$12*100</f>
        <v>0</v>
      </c>
      <c r="L30" s="56"/>
      <c r="M30" s="56">
        <f>VLOOKUP(A30,'درآمد سود سهام'!A:S,15,0)</f>
        <v>1829673440</v>
      </c>
      <c r="N30" s="56"/>
      <c r="O30" s="56">
        <v>0</v>
      </c>
      <c r="P30" s="56"/>
      <c r="Q30" s="56">
        <f>VLOOKUP(A30,'درآمد ناشی از فروش'!A:Q,17,0)</f>
        <v>7288426625</v>
      </c>
      <c r="R30" s="56"/>
      <c r="S30" s="56">
        <f t="shared" si="1"/>
        <v>9118100065</v>
      </c>
      <c r="U30" s="59">
        <f>S30/درآمد!$F$12*100</f>
        <v>0.80534854423659352</v>
      </c>
    </row>
    <row r="31" spans="1:21" ht="21.75" customHeight="1">
      <c r="A31" s="14" t="s">
        <v>120</v>
      </c>
      <c r="C31" s="56">
        <v>0</v>
      </c>
      <c r="D31" s="56"/>
      <c r="E31" s="56">
        <v>0</v>
      </c>
      <c r="F31" s="56"/>
      <c r="G31" s="56">
        <f>VLOOKUP(A31,'درآمد ناشی از فروش'!A:Q,9,0)</f>
        <v>0</v>
      </c>
      <c r="H31" s="56"/>
      <c r="I31" s="56">
        <f t="shared" si="0"/>
        <v>0</v>
      </c>
      <c r="J31" s="56"/>
      <c r="K31" s="59">
        <f>I31/درآمد!$M$12*100</f>
        <v>0</v>
      </c>
      <c r="L31" s="56"/>
      <c r="M31" s="56">
        <f>VLOOKUP(A31,'درآمد سود سهام'!A:S,15,0)</f>
        <v>2688000000</v>
      </c>
      <c r="N31" s="56"/>
      <c r="O31" s="56">
        <v>0</v>
      </c>
      <c r="P31" s="56"/>
      <c r="Q31" s="56">
        <f>VLOOKUP(A31,'درآمد ناشی از فروش'!A:Q,17,0)</f>
        <v>-2291214960</v>
      </c>
      <c r="R31" s="56"/>
      <c r="S31" s="56">
        <f t="shared" si="1"/>
        <v>396785040</v>
      </c>
      <c r="U31" s="59">
        <f>S31/درآمد!$F$12*100</f>
        <v>3.5045706019991844E-2</v>
      </c>
    </row>
    <row r="32" spans="1:21" ht="21.75" customHeight="1">
      <c r="A32" s="14" t="s">
        <v>33</v>
      </c>
      <c r="C32" s="56">
        <v>0</v>
      </c>
      <c r="D32" s="56"/>
      <c r="E32" s="56">
        <f>VLOOKUP(A32,'درآمد ناشی از تغییر قیمت اوراق'!A:Q,9,0)</f>
        <v>144495101752</v>
      </c>
      <c r="F32" s="56"/>
      <c r="G32" s="56">
        <f>VLOOKUP(A32,'درآمد ناشی از فروش'!A:Q,9,0)</f>
        <v>49366588920</v>
      </c>
      <c r="H32" s="56"/>
      <c r="I32" s="56">
        <f t="shared" si="0"/>
        <v>193861690672</v>
      </c>
      <c r="J32" s="56"/>
      <c r="K32" s="59">
        <f>I32/درآمد!$M$12*100</f>
        <v>38.250044417511241</v>
      </c>
      <c r="L32" s="56"/>
      <c r="M32" s="56">
        <f>VLOOKUP(A32,'درآمد سود سهام'!A:S,15,0)</f>
        <v>34602923700</v>
      </c>
      <c r="N32" s="56"/>
      <c r="O32" s="56">
        <f>VLOOKUP(A32,'درآمد ناشی از تغییر قیمت اوراق'!A:Q,17,0)</f>
        <v>292647987985</v>
      </c>
      <c r="P32" s="56"/>
      <c r="Q32" s="56">
        <f>VLOOKUP(A32,'درآمد ناشی از فروش'!A:Q,17,0)</f>
        <v>60663769333</v>
      </c>
      <c r="R32" s="56"/>
      <c r="S32" s="56">
        <f t="shared" si="1"/>
        <v>387914681018</v>
      </c>
      <c r="U32" s="59">
        <f>S32/درآمد!$F$12*100</f>
        <v>34.262238999221694</v>
      </c>
    </row>
    <row r="33" spans="1:21" ht="21.75" customHeight="1">
      <c r="A33" s="14" t="s">
        <v>35</v>
      </c>
      <c r="C33" s="56">
        <v>0</v>
      </c>
      <c r="D33" s="56"/>
      <c r="E33" s="56">
        <f>VLOOKUP(A33,'درآمد ناشی از تغییر قیمت اوراق'!A:Q,9,0)</f>
        <v>-943633226</v>
      </c>
      <c r="F33" s="56"/>
      <c r="G33" s="56">
        <f>VLOOKUP(A33,'درآمد ناشی از فروش'!A:Q,9,0)</f>
        <v>0</v>
      </c>
      <c r="H33" s="56"/>
      <c r="I33" s="56">
        <f t="shared" si="0"/>
        <v>-943633226</v>
      </c>
      <c r="J33" s="56"/>
      <c r="K33" s="59">
        <f>I33/درآمد!$M$12*100</f>
        <v>-0.18618434969396758</v>
      </c>
      <c r="L33" s="56"/>
      <c r="M33" s="56">
        <f>VLOOKUP(A33,'درآمد سود سهام'!A:S,15,0)</f>
        <v>3323431400</v>
      </c>
      <c r="N33" s="56"/>
      <c r="O33" s="56">
        <f>VLOOKUP(A33,'درآمد ناشی از تغییر قیمت اوراق'!A:Q,17,0)</f>
        <v>30924580877</v>
      </c>
      <c r="P33" s="56"/>
      <c r="Q33" s="56">
        <f>VLOOKUP(A33,'درآمد ناشی از فروش'!A:Q,17,0)</f>
        <v>15633845929</v>
      </c>
      <c r="R33" s="56"/>
      <c r="S33" s="56">
        <f t="shared" si="1"/>
        <v>49881858206</v>
      </c>
      <c r="U33" s="59">
        <f>S33/درآمد!$F$12*100</f>
        <v>4.4057733084352018</v>
      </c>
    </row>
    <row r="34" spans="1:21" ht="21.75" customHeight="1">
      <c r="A34" s="14" t="s">
        <v>119</v>
      </c>
      <c r="C34" s="56">
        <v>0</v>
      </c>
      <c r="D34" s="56"/>
      <c r="E34" s="56">
        <v>0</v>
      </c>
      <c r="F34" s="56"/>
      <c r="G34" s="56">
        <f>VLOOKUP(A34,'درآمد ناشی از فروش'!A:Q,9,0)</f>
        <v>0</v>
      </c>
      <c r="H34" s="56"/>
      <c r="I34" s="56">
        <f t="shared" si="0"/>
        <v>0</v>
      </c>
      <c r="J34" s="56"/>
      <c r="K34" s="59">
        <f>I34/درآمد!$M$12*100</f>
        <v>0</v>
      </c>
      <c r="L34" s="56"/>
      <c r="M34" s="56">
        <f>VLOOKUP(A34,'درآمد سود سهام'!A:S,15,0)</f>
        <v>11765482</v>
      </c>
      <c r="N34" s="56"/>
      <c r="O34" s="56">
        <v>0</v>
      </c>
      <c r="P34" s="56"/>
      <c r="Q34" s="56">
        <f>VLOOKUP(A34,'درآمد ناشی از فروش'!A:Q,17,0)</f>
        <v>6752387980</v>
      </c>
      <c r="R34" s="56"/>
      <c r="S34" s="56">
        <f t="shared" si="1"/>
        <v>6764153462</v>
      </c>
      <c r="U34" s="59">
        <f>S34/درآمد!$F$12*100</f>
        <v>0.59743818391782633</v>
      </c>
    </row>
    <row r="35" spans="1:21" ht="21.75" customHeight="1">
      <c r="A35" s="14" t="s">
        <v>103</v>
      </c>
      <c r="C35" s="56">
        <v>0</v>
      </c>
      <c r="D35" s="56"/>
      <c r="E35" s="56">
        <v>0</v>
      </c>
      <c r="F35" s="56"/>
      <c r="G35" s="56">
        <f>VLOOKUP(A35,'درآمد ناشی از فروش'!A:Q,9,0)</f>
        <v>0</v>
      </c>
      <c r="H35" s="56"/>
      <c r="I35" s="56">
        <f t="shared" si="0"/>
        <v>0</v>
      </c>
      <c r="J35" s="56"/>
      <c r="K35" s="59">
        <f>I35/درآمد!$M$12*100</f>
        <v>0</v>
      </c>
      <c r="L35" s="56"/>
      <c r="M35" s="56">
        <f>VLOOKUP(A35,'درآمد سود سهام'!A:S,15,0)</f>
        <v>112842070</v>
      </c>
      <c r="N35" s="56"/>
      <c r="O35" s="56">
        <v>0</v>
      </c>
      <c r="P35" s="56"/>
      <c r="Q35" s="56">
        <f>VLOOKUP(A35,'درآمد ناشی از فروش'!A:Q,17,0)</f>
        <v>849323015</v>
      </c>
      <c r="R35" s="56"/>
      <c r="S35" s="56">
        <f t="shared" si="1"/>
        <v>962165085</v>
      </c>
      <c r="U35" s="59">
        <f>S35/درآمد!$F$12*100</f>
        <v>8.4982424517845906E-2</v>
      </c>
    </row>
    <row r="36" spans="1:21" ht="21.75" customHeight="1">
      <c r="A36" s="14" t="s">
        <v>43</v>
      </c>
      <c r="C36" s="56">
        <v>0</v>
      </c>
      <c r="D36" s="56"/>
      <c r="E36" s="56">
        <f>VLOOKUP(A36,'درآمد ناشی از تغییر قیمت اوراق'!A:Q,9,0)</f>
        <v>-174805824</v>
      </c>
      <c r="F36" s="56"/>
      <c r="G36" s="56">
        <f>VLOOKUP(A36,'درآمد ناشی از فروش'!A:Q,9,0)</f>
        <v>0</v>
      </c>
      <c r="H36" s="56"/>
      <c r="I36" s="56">
        <f t="shared" si="0"/>
        <v>-174805824</v>
      </c>
      <c r="J36" s="56"/>
      <c r="K36" s="59">
        <f>I36/درآمد!$M$12*100</f>
        <v>-3.4490210568484315E-2</v>
      </c>
      <c r="L36" s="56"/>
      <c r="M36" s="56">
        <f>VLOOKUP(A36,'درآمد سود سهام'!A:S,15,0)</f>
        <v>13753286400</v>
      </c>
      <c r="N36" s="56"/>
      <c r="O36" s="56">
        <f>VLOOKUP(A36,'درآمد ناشی از تغییر قیمت اوراق'!A:Q,17,0)</f>
        <v>-2857479138</v>
      </c>
      <c r="P36" s="56"/>
      <c r="Q36" s="56">
        <f>VLOOKUP(A36,'درآمد ناشی از فروش'!A:Q,17,0)</f>
        <v>-20337474012</v>
      </c>
      <c r="R36" s="56"/>
      <c r="S36" s="56">
        <f t="shared" si="1"/>
        <v>-9441666750</v>
      </c>
      <c r="U36" s="59">
        <f>S36/درآمد!$F$12*100</f>
        <v>-0.83392730043257635</v>
      </c>
    </row>
    <row r="37" spans="1:21" ht="21.75" customHeight="1">
      <c r="A37" s="14" t="s">
        <v>44</v>
      </c>
      <c r="C37" s="56">
        <v>0</v>
      </c>
      <c r="D37" s="56"/>
      <c r="E37" s="56">
        <f>VLOOKUP(A37,'درآمد ناشی از تغییر قیمت اوراق'!A:Q,9,0)</f>
        <v>-7311211634</v>
      </c>
      <c r="F37" s="56"/>
      <c r="G37" s="56">
        <f>VLOOKUP(A37,'درآمد ناشی از فروش'!A:Q,9,0)</f>
        <v>15666564374</v>
      </c>
      <c r="H37" s="56"/>
      <c r="I37" s="56">
        <f t="shared" si="0"/>
        <v>8355352740</v>
      </c>
      <c r="J37" s="56"/>
      <c r="K37" s="59">
        <f>I37/درآمد!$M$12*100</f>
        <v>1.6485599208442985</v>
      </c>
      <c r="L37" s="56"/>
      <c r="M37" s="56">
        <f>VLOOKUP(A37,'درآمد سود سهام'!A:S,15,0)</f>
        <v>11136163500</v>
      </c>
      <c r="N37" s="56"/>
      <c r="O37" s="56">
        <f>VLOOKUP(A37,'درآمد ناشی از تغییر قیمت اوراق'!A:Q,17,0)</f>
        <v>30651122959</v>
      </c>
      <c r="P37" s="56"/>
      <c r="Q37" s="56">
        <f>VLOOKUP(A37,'درآمد ناشی از فروش'!A:Q,17,0)</f>
        <v>22415119365</v>
      </c>
      <c r="R37" s="56"/>
      <c r="S37" s="56">
        <f t="shared" si="1"/>
        <v>64202405824</v>
      </c>
      <c r="U37" s="59">
        <f>S37/درآمد!$F$12*100</f>
        <v>5.6706236714068563</v>
      </c>
    </row>
    <row r="38" spans="1:21" ht="21.75" customHeight="1">
      <c r="A38" s="14" t="s">
        <v>36</v>
      </c>
      <c r="C38" s="56">
        <v>0</v>
      </c>
      <c r="D38" s="56"/>
      <c r="E38" s="56">
        <f>VLOOKUP(A38,'درآمد ناشی از تغییر قیمت اوراق'!A:Q,9,0)</f>
        <v>4903128512</v>
      </c>
      <c r="F38" s="56"/>
      <c r="G38" s="56">
        <f>VLOOKUP(A38,'درآمد ناشی از فروش'!A:Q,9,0)</f>
        <v>0</v>
      </c>
      <c r="H38" s="56"/>
      <c r="I38" s="56">
        <f t="shared" si="0"/>
        <v>4903128512</v>
      </c>
      <c r="J38" s="56"/>
      <c r="K38" s="59">
        <f>I38/درآمد!$M$12*100</f>
        <v>0.96741590728246663</v>
      </c>
      <c r="L38" s="56"/>
      <c r="M38" s="56">
        <f>VLOOKUP(A38,'درآمد سود سهام'!A:S,15,0)</f>
        <v>518777305</v>
      </c>
      <c r="N38" s="56"/>
      <c r="O38" s="56">
        <f>VLOOKUP(A38,'درآمد ناشی از تغییر قیمت اوراق'!A:Q,17,0)</f>
        <v>12820380809</v>
      </c>
      <c r="P38" s="56"/>
      <c r="Q38" s="56">
        <f>VLOOKUP(A38,'درآمد ناشی از فروش'!A:Q,17,0)</f>
        <v>-110712618</v>
      </c>
      <c r="R38" s="56"/>
      <c r="S38" s="56">
        <f t="shared" si="1"/>
        <v>13228445496</v>
      </c>
      <c r="U38" s="59">
        <f>S38/درآمد!$F$12*100</f>
        <v>1.1683913585912946</v>
      </c>
    </row>
    <row r="39" spans="1:21" ht="21.75" customHeight="1">
      <c r="A39" s="14" t="s">
        <v>112</v>
      </c>
      <c r="C39" s="56">
        <v>0</v>
      </c>
      <c r="D39" s="56"/>
      <c r="E39" s="56">
        <v>0</v>
      </c>
      <c r="F39" s="56"/>
      <c r="G39" s="56">
        <f>VLOOKUP(A39,'درآمد ناشی از فروش'!A:Q,9,0)</f>
        <v>0</v>
      </c>
      <c r="H39" s="56"/>
      <c r="I39" s="56">
        <f t="shared" si="0"/>
        <v>0</v>
      </c>
      <c r="J39" s="56"/>
      <c r="K39" s="59">
        <f>I39/درآمد!$M$12*100</f>
        <v>0</v>
      </c>
      <c r="L39" s="56"/>
      <c r="M39" s="56">
        <f>VLOOKUP(A39,'درآمد سود سهام'!A:S,15,0)</f>
        <v>839883360</v>
      </c>
      <c r="N39" s="56"/>
      <c r="O39" s="56">
        <v>0</v>
      </c>
      <c r="P39" s="56"/>
      <c r="Q39" s="56">
        <f>VLOOKUP(A39,'درآمد ناشی از فروش'!A:Q,17,0)</f>
        <v>-18458321542</v>
      </c>
      <c r="R39" s="56"/>
      <c r="S39" s="56">
        <f t="shared" si="1"/>
        <v>-17618438182</v>
      </c>
      <c r="U39" s="59">
        <f>S39/درآمد!$F$12*100</f>
        <v>-1.5561337823063379</v>
      </c>
    </row>
    <row r="40" spans="1:21" ht="21.75" customHeight="1">
      <c r="A40" s="14" t="s">
        <v>37</v>
      </c>
      <c r="C40" s="56">
        <v>30246376500</v>
      </c>
      <c r="D40" s="56"/>
      <c r="E40" s="56">
        <f>VLOOKUP(A40,'درآمد ناشی از تغییر قیمت اوراق'!A:Q,9,0)</f>
        <v>-24737904592</v>
      </c>
      <c r="F40" s="56"/>
      <c r="G40" s="56">
        <f>VLOOKUP(A40,'درآمد ناشی از فروش'!A:Q,9,0)</f>
        <v>0</v>
      </c>
      <c r="H40" s="56"/>
      <c r="I40" s="56">
        <f t="shared" si="0"/>
        <v>5508471908</v>
      </c>
      <c r="J40" s="56"/>
      <c r="K40" s="59">
        <f>I40/درآمد!$M$12*100</f>
        <v>1.0868536966909099</v>
      </c>
      <c r="L40" s="56"/>
      <c r="M40" s="56">
        <f>VLOOKUP(A40,'درآمد سود سهام'!A:S,15,0)</f>
        <v>30246376500</v>
      </c>
      <c r="N40" s="56"/>
      <c r="O40" s="56">
        <f>VLOOKUP(A40,'درآمد ناشی از تغییر قیمت اوراق'!A:Q,17,0)</f>
        <v>36460449741</v>
      </c>
      <c r="P40" s="56"/>
      <c r="Q40" s="56">
        <f>VLOOKUP(A40,'درآمد ناشی از فروش'!A:Q,17,0)</f>
        <v>-12095725371</v>
      </c>
      <c r="R40" s="56"/>
      <c r="S40" s="56">
        <f t="shared" si="1"/>
        <v>54611100870</v>
      </c>
      <c r="U40" s="59">
        <f>S40/درآمد!$F$12*100</f>
        <v>4.8234797020526301</v>
      </c>
    </row>
    <row r="41" spans="1:21" ht="21.75" customHeight="1">
      <c r="A41" s="14" t="s">
        <v>40</v>
      </c>
      <c r="C41" s="56">
        <v>0</v>
      </c>
      <c r="D41" s="56"/>
      <c r="E41" s="56">
        <f>VLOOKUP(A41,'درآمد ناشی از تغییر قیمت اوراق'!A:Q,9,0)</f>
        <v>-295701031</v>
      </c>
      <c r="F41" s="56"/>
      <c r="G41" s="56">
        <f>VLOOKUP(A41,'درآمد ناشی از فروش'!A:Q,9,0)</f>
        <v>0</v>
      </c>
      <c r="H41" s="56"/>
      <c r="I41" s="56">
        <f t="shared" si="0"/>
        <v>-295701031</v>
      </c>
      <c r="J41" s="56"/>
      <c r="K41" s="59">
        <f>I41/درآمد!$M$12*100</f>
        <v>-5.834354137141283E-2</v>
      </c>
      <c r="L41" s="56"/>
      <c r="M41" s="56">
        <f>VLOOKUP(A41,'درآمد سود سهام'!A:S,15,0)</f>
        <v>19914239680</v>
      </c>
      <c r="N41" s="56"/>
      <c r="O41" s="56">
        <f>VLOOKUP(A41,'درآمد ناشی از تغییر قیمت اوراق'!A:Q,17,0)</f>
        <v>3523068745</v>
      </c>
      <c r="P41" s="56"/>
      <c r="Q41" s="56">
        <f>VLOOKUP(A41,'درآمد ناشی از فروش'!A:Q,17,0)</f>
        <v>-6131315802</v>
      </c>
      <c r="R41" s="56"/>
      <c r="S41" s="56">
        <f t="shared" si="1"/>
        <v>17305992623</v>
      </c>
      <c r="U41" s="59">
        <f>S41/درآمد!$F$12*100</f>
        <v>1.5285372902410979</v>
      </c>
    </row>
    <row r="42" spans="1:21" ht="21.75" customHeight="1">
      <c r="A42" s="14" t="s">
        <v>23</v>
      </c>
      <c r="C42" s="56">
        <v>0</v>
      </c>
      <c r="D42" s="56"/>
      <c r="E42" s="56">
        <f>VLOOKUP(A42,'درآمد ناشی از تغییر قیمت اوراق'!A:Q,9,0)</f>
        <v>6535334421</v>
      </c>
      <c r="F42" s="56"/>
      <c r="G42" s="56">
        <f>VLOOKUP(A42,'درآمد ناشی از فروش'!A:Q,9,0)</f>
        <v>2550060162</v>
      </c>
      <c r="H42" s="56"/>
      <c r="I42" s="56">
        <f t="shared" si="0"/>
        <v>9085394583</v>
      </c>
      <c r="J42" s="56"/>
      <c r="K42" s="59">
        <f>I42/درآمد!$M$12*100</f>
        <v>1.7926014425322396</v>
      </c>
      <c r="L42" s="56"/>
      <c r="M42" s="56">
        <v>0</v>
      </c>
      <c r="N42" s="56"/>
      <c r="O42" s="56">
        <f>VLOOKUP(A42,'درآمد ناشی از تغییر قیمت اوراق'!A:Q,17,0)</f>
        <v>8649176323</v>
      </c>
      <c r="P42" s="56"/>
      <c r="Q42" s="56">
        <f>VLOOKUP(A42,'درآمد ناشی از فروش'!A:Q,17,0)</f>
        <v>4406039034</v>
      </c>
      <c r="R42" s="56"/>
      <c r="S42" s="56">
        <f t="shared" si="1"/>
        <v>13055215357</v>
      </c>
      <c r="U42" s="59">
        <f>S42/درآمد!$F$12*100</f>
        <v>1.1530909517886685</v>
      </c>
    </row>
    <row r="43" spans="1:21" ht="21.75" customHeight="1">
      <c r="A43" s="14" t="s">
        <v>46</v>
      </c>
      <c r="C43" s="56">
        <v>0</v>
      </c>
      <c r="D43" s="56"/>
      <c r="E43" s="56">
        <f>VLOOKUP(A43,'درآمد ناشی از تغییر قیمت اوراق'!A:Q,9,0)</f>
        <v>-6154763565</v>
      </c>
      <c r="F43" s="56"/>
      <c r="G43" s="56">
        <f>VLOOKUP(A43,'درآمد ناشی از فروش'!A:Q,9,0)</f>
        <v>-3765740118</v>
      </c>
      <c r="H43" s="56"/>
      <c r="I43" s="56">
        <f t="shared" si="0"/>
        <v>-9920503683</v>
      </c>
      <c r="J43" s="56"/>
      <c r="K43" s="59">
        <f>I43/درآمد!$M$12*100</f>
        <v>-1.9573733479960838</v>
      </c>
      <c r="L43" s="56"/>
      <c r="M43" s="56">
        <v>0</v>
      </c>
      <c r="N43" s="56"/>
      <c r="O43" s="56">
        <f>VLOOKUP(A43,'درآمد ناشی از تغییر قیمت اوراق'!A:Q,17,0)</f>
        <v>-4317033939</v>
      </c>
      <c r="P43" s="56"/>
      <c r="Q43" s="56">
        <f>VLOOKUP(A43,'درآمد ناشی از فروش'!A:Q,17,0)</f>
        <v>-5659937473</v>
      </c>
      <c r="R43" s="56"/>
      <c r="S43" s="56">
        <f t="shared" si="1"/>
        <v>-9976971412</v>
      </c>
      <c r="U43" s="59">
        <f>S43/درآمد!$F$12*100</f>
        <v>-0.88120763594014273</v>
      </c>
    </row>
    <row r="44" spans="1:21" ht="21.75" customHeight="1">
      <c r="A44" s="14" t="s">
        <v>41</v>
      </c>
      <c r="C44" s="56">
        <v>0</v>
      </c>
      <c r="D44" s="56"/>
      <c r="E44" s="56">
        <f>VLOOKUP(A44,'درآمد ناشی از تغییر قیمت اوراق'!A:Q,9,0)</f>
        <v>2964766943</v>
      </c>
      <c r="F44" s="56"/>
      <c r="G44" s="56">
        <f>VLOOKUP(A44,'درآمد ناشی از فروش'!A:Q,9,0)</f>
        <v>3652276128</v>
      </c>
      <c r="H44" s="56"/>
      <c r="I44" s="56">
        <f t="shared" si="0"/>
        <v>6617043071</v>
      </c>
      <c r="J44" s="56"/>
      <c r="K44" s="59">
        <f>I44/درآمد!$M$12*100</f>
        <v>1.3055812651843919</v>
      </c>
      <c r="L44" s="56"/>
      <c r="M44" s="56">
        <v>0</v>
      </c>
      <c r="N44" s="56"/>
      <c r="O44" s="56">
        <f>VLOOKUP(A44,'درآمد ناشی از تغییر قیمت اوراق'!A:Q,17,0)</f>
        <v>5556735882</v>
      </c>
      <c r="P44" s="56"/>
      <c r="Q44" s="56">
        <f>VLOOKUP(A44,'درآمد ناشی از فروش'!A:Q,17,0)</f>
        <v>-5358280284</v>
      </c>
      <c r="R44" s="56"/>
      <c r="S44" s="56">
        <f t="shared" si="1"/>
        <v>198455598</v>
      </c>
      <c r="U44" s="59">
        <f>S44/درآمد!$F$12*100</f>
        <v>1.7528424321465553E-2</v>
      </c>
    </row>
    <row r="45" spans="1:21" ht="21.75" customHeight="1">
      <c r="A45" s="14" t="s">
        <v>32</v>
      </c>
      <c r="C45" s="56">
        <v>0</v>
      </c>
      <c r="D45" s="56"/>
      <c r="E45" s="56">
        <f>VLOOKUP(A45,'درآمد ناشی از تغییر قیمت اوراق'!A:Q,9,0)</f>
        <v>-6509345355</v>
      </c>
      <c r="F45" s="56"/>
      <c r="G45" s="56">
        <f>VLOOKUP(A45,'درآمد ناشی از فروش'!A:Q,9,0)</f>
        <v>7729628904</v>
      </c>
      <c r="H45" s="56"/>
      <c r="I45" s="56">
        <f t="shared" si="0"/>
        <v>1220283549</v>
      </c>
      <c r="J45" s="56"/>
      <c r="K45" s="59">
        <f>I45/درآمد!$M$12*100</f>
        <v>0.24076907505248424</v>
      </c>
      <c r="L45" s="56"/>
      <c r="M45" s="56">
        <v>0</v>
      </c>
      <c r="N45" s="56"/>
      <c r="O45" s="56">
        <f>VLOOKUP(A45,'درآمد ناشی از تغییر قیمت اوراق'!A:Q,17,0)</f>
        <v>2721477421</v>
      </c>
      <c r="P45" s="56"/>
      <c r="Q45" s="56">
        <f>VLOOKUP(A45,'درآمد ناشی از فروش'!A:Q,17,0)</f>
        <v>7602002656</v>
      </c>
      <c r="R45" s="56"/>
      <c r="S45" s="56">
        <f t="shared" si="1"/>
        <v>10323480077</v>
      </c>
      <c r="U45" s="59">
        <f>S45/درآمد!$F$12*100</f>
        <v>0.91181272328660568</v>
      </c>
    </row>
    <row r="46" spans="1:21" ht="18.75">
      <c r="A46" s="14" t="s">
        <v>34</v>
      </c>
      <c r="C46" s="56">
        <v>0</v>
      </c>
      <c r="D46" s="56"/>
      <c r="E46" s="56">
        <f>VLOOKUP(A46,'درآمد ناشی از تغییر قیمت اوراق'!A:Q,9,0)</f>
        <v>2541263000</v>
      </c>
      <c r="F46" s="56"/>
      <c r="G46" s="56">
        <f>VLOOKUP(A46,'درآمد ناشی از فروش'!A:Q,9,0)</f>
        <v>-922147000</v>
      </c>
      <c r="H46" s="56"/>
      <c r="I46" s="56">
        <f t="shared" si="0"/>
        <v>1619116000</v>
      </c>
      <c r="J46" s="56"/>
      <c r="K46" s="59">
        <f>I46/درآمد!$M$12*100</f>
        <v>0.31946104824746602</v>
      </c>
      <c r="L46" s="56"/>
      <c r="M46" s="56">
        <v>0</v>
      </c>
      <c r="N46" s="56"/>
      <c r="O46" s="56">
        <f>VLOOKUP(A46,'درآمد ناشی از تغییر قیمت اوراق'!A:Q,17,0)</f>
        <v>0</v>
      </c>
      <c r="P46" s="56"/>
      <c r="Q46" s="56">
        <f>VLOOKUP(A46,'درآمد ناشی از فروش'!A:Q,17,0)</f>
        <v>-922147000</v>
      </c>
      <c r="R46" s="56"/>
      <c r="S46" s="56">
        <f t="shared" si="1"/>
        <v>-922147000</v>
      </c>
      <c r="U46" s="59">
        <f>S46/درآمد!$F$12*100</f>
        <v>-8.144786070870369E-2</v>
      </c>
    </row>
    <row r="47" spans="1:21" ht="18.75">
      <c r="A47" s="14" t="s">
        <v>268</v>
      </c>
      <c r="C47" s="56">
        <v>0</v>
      </c>
      <c r="D47" s="56"/>
      <c r="E47" s="56">
        <f>VLOOKUP(A47,'درآمد ناشی از تغییر قیمت اوراق'!A:Q,9,0)</f>
        <v>-14118767586</v>
      </c>
      <c r="F47" s="56"/>
      <c r="G47" s="56">
        <f>VLOOKUP(A47,'درآمد ناشی از فروش'!A:Q,9,0)</f>
        <v>3599456160</v>
      </c>
      <c r="H47" s="56"/>
      <c r="I47" s="56">
        <f t="shared" si="0"/>
        <v>-10519311426</v>
      </c>
      <c r="J47" s="56"/>
      <c r="K47" s="59">
        <f>I47/درآمد!$M$12*100</f>
        <v>-2.0755216148759614</v>
      </c>
      <c r="L47" s="56"/>
      <c r="M47" s="56">
        <v>0</v>
      </c>
      <c r="N47" s="56"/>
      <c r="O47" s="56">
        <f>VLOOKUP(A47,'درآمد ناشی از تغییر قیمت اوراق'!A:Q,17,0)</f>
        <v>-2308276002</v>
      </c>
      <c r="P47" s="56"/>
      <c r="Q47" s="56">
        <f>VLOOKUP(A47,'درآمد ناشی از فروش'!A:Q,17,0)</f>
        <v>3599456160</v>
      </c>
      <c r="R47" s="56"/>
      <c r="S47" s="56">
        <f t="shared" si="1"/>
        <v>1291180158</v>
      </c>
      <c r="U47" s="59">
        <f>S47/درآمد!$F$12*100</f>
        <v>0.11404240501636509</v>
      </c>
    </row>
    <row r="48" spans="1:21" ht="18.75">
      <c r="A48" s="14" t="s">
        <v>38</v>
      </c>
      <c r="C48" s="56">
        <v>0</v>
      </c>
      <c r="D48" s="56"/>
      <c r="E48" s="56">
        <f>VLOOKUP(A48,'درآمد ناشی از تغییر قیمت اوراق'!A:Q,9,0)</f>
        <v>275868943</v>
      </c>
      <c r="F48" s="56"/>
      <c r="G48" s="56">
        <f>VLOOKUP(A48,'درآمد ناشی از فروش'!A:Q,9,0)</f>
        <v>175828364</v>
      </c>
      <c r="H48" s="56"/>
      <c r="I48" s="56">
        <f t="shared" si="0"/>
        <v>451697307</v>
      </c>
      <c r="J48" s="56"/>
      <c r="K48" s="59">
        <f>I48/درآمد!$M$12*100</f>
        <v>8.9122518204240761E-2</v>
      </c>
      <c r="L48" s="56"/>
      <c r="M48" s="56">
        <v>0</v>
      </c>
      <c r="N48" s="56"/>
      <c r="O48" s="56">
        <f>VLOOKUP(A48,'درآمد ناشی از تغییر قیمت اوراق'!A:Q,17,0)</f>
        <v>5451117949</v>
      </c>
      <c r="P48" s="56"/>
      <c r="Q48" s="56">
        <f>VLOOKUP(A48,'درآمد ناشی از فروش'!A:Q,17,0)</f>
        <v>107517726</v>
      </c>
      <c r="R48" s="56"/>
      <c r="S48" s="56">
        <f t="shared" si="1"/>
        <v>5558635675</v>
      </c>
      <c r="U48" s="59">
        <f>S48/درآمد!$F$12*100</f>
        <v>0.49096183600644044</v>
      </c>
    </row>
    <row r="49" spans="1:21" ht="21.75" customHeight="1">
      <c r="A49" s="14" t="s">
        <v>42</v>
      </c>
      <c r="C49" s="56">
        <v>0</v>
      </c>
      <c r="D49" s="56"/>
      <c r="E49" s="56">
        <f>VLOOKUP(A49,'درآمد ناشی از تغییر قیمت اوراق'!A:Q,9,0)</f>
        <v>762531775</v>
      </c>
      <c r="F49" s="56"/>
      <c r="G49" s="56">
        <f>VLOOKUP(A49,'درآمد ناشی از فروش'!A:Q,9,0)</f>
        <v>1196728886</v>
      </c>
      <c r="H49" s="56"/>
      <c r="I49" s="56">
        <f t="shared" si="0"/>
        <v>1959260661</v>
      </c>
      <c r="J49" s="56"/>
      <c r="K49" s="59">
        <f>I49/درآمد!$M$12*100</f>
        <v>0.3865735775281593</v>
      </c>
      <c r="L49" s="56"/>
      <c r="M49" s="56">
        <v>0</v>
      </c>
      <c r="N49" s="56"/>
      <c r="O49" s="56">
        <f>VLOOKUP(A49,'درآمد ناشی از تغییر قیمت اوراق'!A:Q,17,0)</f>
        <v>6578284532</v>
      </c>
      <c r="P49" s="56"/>
      <c r="Q49" s="56">
        <f>VLOOKUP(A49,'درآمد ناشی از فروش'!A:Q,17,0)</f>
        <v>7738871123</v>
      </c>
      <c r="R49" s="56"/>
      <c r="S49" s="56">
        <f t="shared" si="1"/>
        <v>14317155655</v>
      </c>
      <c r="U49" s="59">
        <f>S49/درآمد!$F$12*100</f>
        <v>1.2645507706832742</v>
      </c>
    </row>
    <row r="50" spans="1:21" ht="21.75" customHeight="1">
      <c r="A50" s="14" t="s">
        <v>30</v>
      </c>
      <c r="C50" s="56">
        <v>0</v>
      </c>
      <c r="D50" s="56"/>
      <c r="E50" s="56">
        <f>VLOOKUP(A50,'درآمد ناشی از تغییر قیمت اوراق'!A:Q,9,0)</f>
        <v>36543822165</v>
      </c>
      <c r="F50" s="56"/>
      <c r="G50" s="56">
        <f>VLOOKUP(A50,'درآمد ناشی از فروش'!A:Q,9,0)</f>
        <v>1169872652</v>
      </c>
      <c r="H50" s="56"/>
      <c r="I50" s="56">
        <f t="shared" si="0"/>
        <v>37713694817</v>
      </c>
      <c r="J50" s="56"/>
      <c r="K50" s="59">
        <f>I50/درآمد!$M$12*100</f>
        <v>7.4411323707034249</v>
      </c>
      <c r="L50" s="56"/>
      <c r="M50" s="56">
        <v>0</v>
      </c>
      <c r="N50" s="56"/>
      <c r="O50" s="56">
        <f>VLOOKUP(A50,'درآمد ناشی از تغییر قیمت اوراق'!A:Q,17,0)</f>
        <v>66920984276</v>
      </c>
      <c r="P50" s="56"/>
      <c r="Q50" s="56">
        <f>VLOOKUP(A50,'درآمد ناشی از فروش'!A:Q,17,0)</f>
        <v>15976203038</v>
      </c>
      <c r="R50" s="56"/>
      <c r="S50" s="56">
        <f t="shared" si="1"/>
        <v>82897187314</v>
      </c>
      <c r="U50" s="59">
        <f>S50/درآمد!$F$12*100</f>
        <v>7.3218245740581391</v>
      </c>
    </row>
    <row r="51" spans="1:21" ht="18.75">
      <c r="A51" s="14" t="s">
        <v>47</v>
      </c>
      <c r="C51" s="56">
        <v>0</v>
      </c>
      <c r="D51" s="56"/>
      <c r="E51" s="56">
        <v>0</v>
      </c>
      <c r="F51" s="56"/>
      <c r="G51" s="56">
        <f>VLOOKUP(A51,'درآمد ناشی از فروش'!A:Q,9,0)</f>
        <v>0</v>
      </c>
      <c r="H51" s="56"/>
      <c r="I51" s="56">
        <f t="shared" si="0"/>
        <v>0</v>
      </c>
      <c r="J51" s="56"/>
      <c r="K51" s="59">
        <f>I51/درآمد!$M$12*100</f>
        <v>0</v>
      </c>
      <c r="L51" s="56"/>
      <c r="M51" s="56">
        <v>0</v>
      </c>
      <c r="N51" s="56"/>
      <c r="O51" s="56">
        <v>0</v>
      </c>
      <c r="P51" s="56"/>
      <c r="Q51" s="56">
        <f>VLOOKUP(A51,'درآمد ناشی از فروش'!A:Q,17,0)</f>
        <v>5450199</v>
      </c>
      <c r="R51" s="56"/>
      <c r="S51" s="56">
        <f t="shared" si="1"/>
        <v>5450199</v>
      </c>
      <c r="U51" s="59">
        <f>S51/درآمد!$F$12*100</f>
        <v>4.8138425759311276E-4</v>
      </c>
    </row>
    <row r="52" spans="1:21" ht="18.75">
      <c r="A52" s="14" t="s">
        <v>45</v>
      </c>
      <c r="C52" s="56">
        <v>0</v>
      </c>
      <c r="D52" s="56"/>
      <c r="E52" s="56">
        <f>VLOOKUP(A52,'درآمد ناشی از تغییر قیمت اوراق'!A:Q,9,0)</f>
        <v>-44652150</v>
      </c>
      <c r="F52" s="56"/>
      <c r="G52" s="56">
        <f>VLOOKUP(A52,'درآمد ناشی از فروش'!A:Q,9,0)</f>
        <v>0</v>
      </c>
      <c r="H52" s="56"/>
      <c r="I52" s="56">
        <f t="shared" si="0"/>
        <v>-44652150</v>
      </c>
      <c r="J52" s="56"/>
      <c r="K52" s="59">
        <f>I52/درآمد!$M$12*100</f>
        <v>-8.8101301237855038E-3</v>
      </c>
      <c r="L52" s="56"/>
      <c r="M52" s="56">
        <v>0</v>
      </c>
      <c r="N52" s="56"/>
      <c r="O52" s="56">
        <f>VLOOKUP(A52,'درآمد ناشی از تغییر قیمت اوراق'!A:Q,17,0)</f>
        <v>430699218</v>
      </c>
      <c r="P52" s="56"/>
      <c r="Q52" s="56">
        <f>VLOOKUP(A52,'درآمد ناشی از فروش'!A:Q,17,0)</f>
        <v>895403250</v>
      </c>
      <c r="R52" s="56"/>
      <c r="S52" s="56">
        <f t="shared" si="1"/>
        <v>1326102468</v>
      </c>
      <c r="U52" s="59">
        <f>S52/درآمد!$F$12*100</f>
        <v>0.11712688877058884</v>
      </c>
    </row>
    <row r="53" spans="1:21" ht="18.75">
      <c r="A53" s="14" t="s">
        <v>106</v>
      </c>
      <c r="C53" s="56">
        <v>0</v>
      </c>
      <c r="D53" s="56"/>
      <c r="E53" s="56">
        <v>0</v>
      </c>
      <c r="F53" s="56"/>
      <c r="G53" s="56">
        <f>VLOOKUP(A53,'درآمد ناشی از فروش'!A:Q,9,0)</f>
        <v>0</v>
      </c>
      <c r="H53" s="56"/>
      <c r="I53" s="56">
        <f t="shared" si="0"/>
        <v>0</v>
      </c>
      <c r="J53" s="56"/>
      <c r="K53" s="59">
        <f>I53/درآمد!$M$12*100</f>
        <v>0</v>
      </c>
      <c r="L53" s="56"/>
      <c r="M53" s="56">
        <v>0</v>
      </c>
      <c r="N53" s="56"/>
      <c r="O53" s="56">
        <v>0</v>
      </c>
      <c r="P53" s="56"/>
      <c r="Q53" s="56">
        <f>VLOOKUP(A53,'درآمد ناشی از فروش'!A:Q,17,0)</f>
        <v>-53131122371</v>
      </c>
      <c r="R53" s="56"/>
      <c r="S53" s="56">
        <f t="shared" si="1"/>
        <v>-53131122371</v>
      </c>
      <c r="U53" s="59">
        <f>S53/درآمد!$F$12*100</f>
        <v>-4.6927618418433275</v>
      </c>
    </row>
    <row r="54" spans="1:21" ht="18.75">
      <c r="A54" s="14" t="s">
        <v>107</v>
      </c>
      <c r="C54" s="56">
        <v>0</v>
      </c>
      <c r="D54" s="56"/>
      <c r="E54" s="56">
        <v>0</v>
      </c>
      <c r="F54" s="56"/>
      <c r="G54" s="56">
        <f>VLOOKUP(A54,'درآمد ناشی از فروش'!A:Q,9,0)</f>
        <v>0</v>
      </c>
      <c r="H54" s="56"/>
      <c r="I54" s="56">
        <f t="shared" si="0"/>
        <v>0</v>
      </c>
      <c r="J54" s="56"/>
      <c r="K54" s="59">
        <f>I54/درآمد!$M$12*100</f>
        <v>0</v>
      </c>
      <c r="L54" s="56"/>
      <c r="M54" s="56">
        <v>0</v>
      </c>
      <c r="N54" s="56"/>
      <c r="O54" s="56">
        <v>0</v>
      </c>
      <c r="P54" s="56"/>
      <c r="Q54" s="56">
        <f>VLOOKUP(A54,'درآمد ناشی از فروش'!A:Q,17,0)</f>
        <v>-6810478177</v>
      </c>
      <c r="R54" s="56"/>
      <c r="S54" s="56">
        <f t="shared" si="1"/>
        <v>-6810478177</v>
      </c>
      <c r="U54" s="59">
        <f>S54/درآمد!$F$12*100</f>
        <v>-0.60152977553466225</v>
      </c>
    </row>
    <row r="55" spans="1:21" ht="18.75">
      <c r="A55" s="14" t="s">
        <v>116</v>
      </c>
      <c r="C55" s="56">
        <v>0</v>
      </c>
      <c r="D55" s="56"/>
      <c r="E55" s="56">
        <v>0</v>
      </c>
      <c r="F55" s="56"/>
      <c r="G55" s="56">
        <f>VLOOKUP(A55,'درآمد ناشی از فروش'!A:Q,9,0)</f>
        <v>0</v>
      </c>
      <c r="H55" s="56"/>
      <c r="I55" s="56">
        <f t="shared" si="0"/>
        <v>0</v>
      </c>
      <c r="J55" s="56"/>
      <c r="K55" s="59">
        <f>I55/درآمد!$M$12*100</f>
        <v>0</v>
      </c>
      <c r="L55" s="56"/>
      <c r="M55" s="56">
        <v>0</v>
      </c>
      <c r="N55" s="56"/>
      <c r="O55" s="56">
        <v>0</v>
      </c>
      <c r="P55" s="56"/>
      <c r="Q55" s="56">
        <f>VLOOKUP(A55,'درآمد ناشی از فروش'!A:Q,17,0)</f>
        <v>-114087594</v>
      </c>
      <c r="R55" s="56"/>
      <c r="S55" s="56">
        <f t="shared" si="1"/>
        <v>-114087594</v>
      </c>
      <c r="U55" s="59">
        <f>S55/درآمد!$F$12*100</f>
        <v>-1.0076691096650683E-2</v>
      </c>
    </row>
    <row r="56" spans="1:21" ht="18.75">
      <c r="A56" s="14" t="s">
        <v>278</v>
      </c>
      <c r="C56" s="56">
        <v>0</v>
      </c>
      <c r="D56" s="56"/>
      <c r="E56" s="56">
        <v>0</v>
      </c>
      <c r="F56" s="56"/>
      <c r="G56" s="56">
        <f>VLOOKUP(A56,'درآمد ناشی از فروش'!A:Q,9,0)</f>
        <v>0</v>
      </c>
      <c r="H56" s="56"/>
      <c r="I56" s="56">
        <f t="shared" si="0"/>
        <v>0</v>
      </c>
      <c r="J56" s="56"/>
      <c r="K56" s="59">
        <f>I56/درآمد!$M$12*100</f>
        <v>0</v>
      </c>
      <c r="L56" s="56"/>
      <c r="M56" s="56">
        <v>0</v>
      </c>
      <c r="N56" s="56"/>
      <c r="O56" s="56">
        <v>0</v>
      </c>
      <c r="P56" s="56"/>
      <c r="Q56" s="56">
        <f>VLOOKUP(A56,'درآمد ناشی از فروش'!A:Q,17,0)</f>
        <v>-69904587732</v>
      </c>
      <c r="R56" s="56"/>
      <c r="S56" s="56">
        <f t="shared" si="1"/>
        <v>-69904587732</v>
      </c>
      <c r="U56" s="59">
        <f>S56/درآمد!$F$12*100</f>
        <v>-6.1742641081034719</v>
      </c>
    </row>
    <row r="57" spans="1:21" ht="18.75">
      <c r="A57" s="14" t="s">
        <v>118</v>
      </c>
      <c r="C57" s="56">
        <v>0</v>
      </c>
      <c r="D57" s="56"/>
      <c r="E57" s="56">
        <v>0</v>
      </c>
      <c r="F57" s="56"/>
      <c r="G57" s="56">
        <f>VLOOKUP(A57,'درآمد ناشی از فروش'!A:Q,9,0)</f>
        <v>0</v>
      </c>
      <c r="H57" s="56"/>
      <c r="I57" s="56">
        <f t="shared" si="0"/>
        <v>0</v>
      </c>
      <c r="J57" s="56"/>
      <c r="K57" s="59">
        <f>I57/درآمد!$M$12*100</f>
        <v>0</v>
      </c>
      <c r="L57" s="56"/>
      <c r="M57" s="56">
        <v>0</v>
      </c>
      <c r="N57" s="56"/>
      <c r="O57" s="56">
        <v>0</v>
      </c>
      <c r="P57" s="56"/>
      <c r="Q57" s="56">
        <f>VLOOKUP(A57,'درآمد ناشی از فروش'!A:Q,17,0)</f>
        <v>650579159</v>
      </c>
      <c r="R57" s="56"/>
      <c r="S57" s="56">
        <f t="shared" si="1"/>
        <v>650579159</v>
      </c>
      <c r="U57" s="59">
        <f>S57/درآمد!$F$12*100</f>
        <v>5.746185881667195E-2</v>
      </c>
    </row>
    <row r="58" spans="1:21" ht="18.75">
      <c r="A58" s="14" t="s">
        <v>98</v>
      </c>
      <c r="C58" s="56">
        <v>0</v>
      </c>
      <c r="D58" s="56"/>
      <c r="E58" s="56">
        <v>0</v>
      </c>
      <c r="F58" s="56"/>
      <c r="G58" s="56">
        <f>VLOOKUP(A58,'درآمد ناشی از فروش'!A:Q,9,0)</f>
        <v>0</v>
      </c>
      <c r="H58" s="56"/>
      <c r="I58" s="56">
        <f t="shared" si="0"/>
        <v>0</v>
      </c>
      <c r="J58" s="56"/>
      <c r="K58" s="59">
        <f>I58/درآمد!$M$12*100</f>
        <v>0</v>
      </c>
      <c r="L58" s="56"/>
      <c r="M58" s="56">
        <v>0</v>
      </c>
      <c r="N58" s="56"/>
      <c r="O58" s="56">
        <v>0</v>
      </c>
      <c r="P58" s="56"/>
      <c r="Q58" s="56">
        <f>VLOOKUP(A58,'درآمد ناشی از فروش'!A:Q,17,0)</f>
        <v>75052261</v>
      </c>
      <c r="R58" s="56"/>
      <c r="S58" s="56">
        <f t="shared" si="1"/>
        <v>75052261</v>
      </c>
      <c r="U58" s="59">
        <f>S58/درآمد!$F$12*100</f>
        <v>6.6289280340350006E-3</v>
      </c>
    </row>
    <row r="59" spans="1:21" ht="18.75">
      <c r="A59" s="14" t="s">
        <v>124</v>
      </c>
      <c r="C59" s="56">
        <v>0</v>
      </c>
      <c r="D59" s="56"/>
      <c r="E59" s="56">
        <v>0</v>
      </c>
      <c r="F59" s="56"/>
      <c r="G59" s="56">
        <f>VLOOKUP(A59,'درآمد ناشی از فروش'!A:Q,9,0)</f>
        <v>0</v>
      </c>
      <c r="H59" s="56"/>
      <c r="I59" s="56">
        <f t="shared" si="0"/>
        <v>0</v>
      </c>
      <c r="J59" s="56"/>
      <c r="K59" s="59">
        <f>I59/درآمد!$M$12*100</f>
        <v>0</v>
      </c>
      <c r="L59" s="56"/>
      <c r="M59" s="56">
        <v>0</v>
      </c>
      <c r="N59" s="56"/>
      <c r="O59" s="56">
        <v>0</v>
      </c>
      <c r="P59" s="56"/>
      <c r="Q59" s="56">
        <f>VLOOKUP(A59,'درآمد ناشی از فروش'!A:Q,17,0)</f>
        <v>148350555</v>
      </c>
      <c r="R59" s="56"/>
      <c r="S59" s="56">
        <f t="shared" si="1"/>
        <v>148350555</v>
      </c>
      <c r="U59" s="59">
        <f>S59/درآمد!$F$12*100</f>
        <v>1.3102938403203486E-2</v>
      </c>
    </row>
    <row r="60" spans="1:21" ht="18.75">
      <c r="A60" s="14" t="s">
        <v>279</v>
      </c>
      <c r="C60" s="56">
        <v>0</v>
      </c>
      <c r="D60" s="56"/>
      <c r="E60" s="56">
        <v>0</v>
      </c>
      <c r="F60" s="56"/>
      <c r="G60" s="56">
        <f>VLOOKUP(A60,'درآمد ناشی از فروش'!A:Q,9,0)</f>
        <v>0</v>
      </c>
      <c r="H60" s="56"/>
      <c r="I60" s="56">
        <f t="shared" si="0"/>
        <v>0</v>
      </c>
      <c r="J60" s="56"/>
      <c r="K60" s="59">
        <f>I60/درآمد!$M$12*100</f>
        <v>0</v>
      </c>
      <c r="L60" s="56"/>
      <c r="M60" s="56">
        <v>0</v>
      </c>
      <c r="N60" s="56"/>
      <c r="O60" s="56">
        <v>0</v>
      </c>
      <c r="P60" s="56"/>
      <c r="Q60" s="56">
        <f>VLOOKUP(A60,'درآمد ناشی از فروش'!A:Q,17,0)</f>
        <v>5727329100</v>
      </c>
      <c r="R60" s="56"/>
      <c r="S60" s="56">
        <f t="shared" si="1"/>
        <v>5727329100</v>
      </c>
      <c r="U60" s="59">
        <f>S60/درآمد!$F$12*100</f>
        <v>0.50586154134829397</v>
      </c>
    </row>
    <row r="61" spans="1:21" ht="18.75">
      <c r="A61" s="14" t="s">
        <v>128</v>
      </c>
      <c r="C61" s="56">
        <v>0</v>
      </c>
      <c r="D61" s="56"/>
      <c r="E61" s="56">
        <v>0</v>
      </c>
      <c r="F61" s="56"/>
      <c r="G61" s="56">
        <f>VLOOKUP(A61,'درآمد ناشی از فروش'!A:Q,9,0)</f>
        <v>0</v>
      </c>
      <c r="H61" s="56"/>
      <c r="I61" s="56">
        <f t="shared" si="0"/>
        <v>0</v>
      </c>
      <c r="J61" s="56"/>
      <c r="K61" s="59">
        <f>I61/درآمد!$M$12*100</f>
        <v>0</v>
      </c>
      <c r="L61" s="56"/>
      <c r="M61" s="56">
        <v>0</v>
      </c>
      <c r="N61" s="56"/>
      <c r="O61" s="56">
        <v>0</v>
      </c>
      <c r="P61" s="56"/>
      <c r="Q61" s="56">
        <f>VLOOKUP(A61,'درآمد ناشی از فروش'!A:Q,17,0)</f>
        <v>2052398649</v>
      </c>
      <c r="R61" s="56"/>
      <c r="S61" s="56">
        <f t="shared" si="1"/>
        <v>2052398649</v>
      </c>
      <c r="U61" s="59">
        <f>S61/درآمد!$F$12*100</f>
        <v>0.18127639007932966</v>
      </c>
    </row>
    <row r="62" spans="1:21" ht="18.75">
      <c r="A62" s="14" t="s">
        <v>113</v>
      </c>
      <c r="C62" s="56">
        <v>0</v>
      </c>
      <c r="D62" s="56"/>
      <c r="E62" s="56">
        <v>0</v>
      </c>
      <c r="F62" s="56"/>
      <c r="G62" s="56">
        <f>VLOOKUP(A62,'درآمد ناشی از فروش'!A:Q,9,0)</f>
        <v>0</v>
      </c>
      <c r="H62" s="56"/>
      <c r="I62" s="56">
        <f t="shared" si="0"/>
        <v>0</v>
      </c>
      <c r="J62" s="56"/>
      <c r="K62" s="59">
        <f>I62/درآمد!$M$12*100</f>
        <v>0</v>
      </c>
      <c r="L62" s="56"/>
      <c r="M62" s="56">
        <v>0</v>
      </c>
      <c r="N62" s="56"/>
      <c r="O62" s="56">
        <v>0</v>
      </c>
      <c r="P62" s="56"/>
      <c r="Q62" s="56">
        <f>VLOOKUP(A62,'درآمد ناشی از فروش'!A:Q,17,0)</f>
        <v>100351395</v>
      </c>
      <c r="R62" s="56"/>
      <c r="S62" s="56">
        <f t="shared" si="1"/>
        <v>100351395</v>
      </c>
      <c r="U62" s="59">
        <f>S62/درآمد!$F$12*100</f>
        <v>8.8634528354851281E-3</v>
      </c>
    </row>
    <row r="63" spans="1:21" ht="18.75">
      <c r="A63" s="14" t="s">
        <v>114</v>
      </c>
      <c r="C63" s="56">
        <v>0</v>
      </c>
      <c r="D63" s="56"/>
      <c r="E63" s="56">
        <v>0</v>
      </c>
      <c r="F63" s="56"/>
      <c r="G63" s="56">
        <f>VLOOKUP(A63,'درآمد ناشی از فروش'!A:Q,9,0)</f>
        <v>0</v>
      </c>
      <c r="H63" s="56"/>
      <c r="I63" s="56">
        <f t="shared" si="0"/>
        <v>0</v>
      </c>
      <c r="J63" s="56"/>
      <c r="K63" s="59">
        <f>I63/درآمد!$M$12*100</f>
        <v>0</v>
      </c>
      <c r="L63" s="56"/>
      <c r="M63" s="56">
        <v>0</v>
      </c>
      <c r="N63" s="56"/>
      <c r="O63" s="56">
        <v>0</v>
      </c>
      <c r="P63" s="56"/>
      <c r="Q63" s="56">
        <f>VLOOKUP(A63,'درآمد ناشی از فروش'!A:Q,17,0)</f>
        <v>2975052000</v>
      </c>
      <c r="R63" s="56"/>
      <c r="S63" s="56">
        <f t="shared" si="1"/>
        <v>2975052000</v>
      </c>
      <c r="U63" s="59">
        <f>S63/درآمد!$F$12*100</f>
        <v>0.26276897381561759</v>
      </c>
    </row>
    <row r="64" spans="1:21" ht="18.75">
      <c r="A64" s="14" t="s">
        <v>115</v>
      </c>
      <c r="C64" s="56">
        <v>0</v>
      </c>
      <c r="D64" s="56"/>
      <c r="E64" s="56">
        <v>0</v>
      </c>
      <c r="F64" s="56"/>
      <c r="G64" s="56">
        <f>VLOOKUP(A64,'درآمد ناشی از فروش'!A:Q,9,0)</f>
        <v>0</v>
      </c>
      <c r="H64" s="56"/>
      <c r="I64" s="56">
        <f t="shared" si="0"/>
        <v>0</v>
      </c>
      <c r="J64" s="56"/>
      <c r="K64" s="59">
        <f>I64/درآمد!$M$12*100</f>
        <v>0</v>
      </c>
      <c r="L64" s="56"/>
      <c r="M64" s="56">
        <v>0</v>
      </c>
      <c r="N64" s="56"/>
      <c r="O64" s="56">
        <v>0</v>
      </c>
      <c r="P64" s="56"/>
      <c r="Q64" s="56">
        <f>VLOOKUP(A64,'درآمد ناشی از فروش'!A:Q,17,0)</f>
        <v>27037740407</v>
      </c>
      <c r="R64" s="56"/>
      <c r="S64" s="56">
        <f t="shared" si="1"/>
        <v>27037740407</v>
      </c>
      <c r="U64" s="59">
        <f>S64/درآمد!$F$12*100</f>
        <v>2.3880857548172099</v>
      </c>
    </row>
    <row r="65" spans="1:21" ht="18.75">
      <c r="A65" s="14" t="s">
        <v>280</v>
      </c>
      <c r="C65" s="56">
        <v>0</v>
      </c>
      <c r="D65" s="56"/>
      <c r="E65" s="56">
        <v>0</v>
      </c>
      <c r="F65" s="56"/>
      <c r="G65" s="56">
        <f>VLOOKUP(A65,'درآمد ناشی از فروش'!A:Q,9,0)</f>
        <v>0</v>
      </c>
      <c r="H65" s="56"/>
      <c r="I65" s="56">
        <f t="shared" si="0"/>
        <v>0</v>
      </c>
      <c r="J65" s="56"/>
      <c r="K65" s="59">
        <f>I65/درآمد!$M$12*100</f>
        <v>0</v>
      </c>
      <c r="L65" s="56"/>
      <c r="M65" s="56">
        <v>0</v>
      </c>
      <c r="N65" s="56"/>
      <c r="O65" s="56">
        <v>0</v>
      </c>
      <c r="P65" s="56"/>
      <c r="Q65" s="56">
        <f>VLOOKUP(A65,'درآمد ناشی از فروش'!A:Q,17,0)</f>
        <v>3601154562</v>
      </c>
      <c r="R65" s="56"/>
      <c r="S65" s="56">
        <f t="shared" si="1"/>
        <v>3601154562</v>
      </c>
      <c r="U65" s="59">
        <f>S65/درآمد!$F$12*100</f>
        <v>0.31806895772180444</v>
      </c>
    </row>
    <row r="66" spans="1:21" ht="18.75">
      <c r="A66" s="14" t="s">
        <v>101</v>
      </c>
      <c r="C66" s="56">
        <v>0</v>
      </c>
      <c r="D66" s="56"/>
      <c r="E66" s="56">
        <v>0</v>
      </c>
      <c r="F66" s="56"/>
      <c r="G66" s="56">
        <f>VLOOKUP(A66,'درآمد ناشی از فروش'!A:Q,9,0)</f>
        <v>0</v>
      </c>
      <c r="H66" s="56"/>
      <c r="I66" s="56">
        <f t="shared" si="0"/>
        <v>0</v>
      </c>
      <c r="J66" s="56"/>
      <c r="K66" s="59">
        <f>I66/درآمد!$M$12*100</f>
        <v>0</v>
      </c>
      <c r="L66" s="56"/>
      <c r="M66" s="56">
        <v>0</v>
      </c>
      <c r="N66" s="56"/>
      <c r="O66" s="56">
        <v>0</v>
      </c>
      <c r="P66" s="56"/>
      <c r="Q66" s="56">
        <f>VLOOKUP(A66,'درآمد ناشی از فروش'!A:Q,17,0)</f>
        <v>-27277706524</v>
      </c>
      <c r="R66" s="56"/>
      <c r="S66" s="56">
        <f t="shared" si="1"/>
        <v>-27277706524</v>
      </c>
      <c r="U66" s="59">
        <f>S66/درآمد!$F$12*100</f>
        <v>-2.4092805609297105</v>
      </c>
    </row>
    <row r="67" spans="1:21" ht="18.75">
      <c r="A67" s="14" t="s">
        <v>104</v>
      </c>
      <c r="C67" s="56">
        <v>0</v>
      </c>
      <c r="D67" s="56"/>
      <c r="E67" s="56">
        <v>0</v>
      </c>
      <c r="F67" s="56"/>
      <c r="G67" s="56">
        <f>VLOOKUP(A67,'درآمد ناشی از فروش'!A:Q,9,0)</f>
        <v>0</v>
      </c>
      <c r="H67" s="56"/>
      <c r="I67" s="56">
        <f t="shared" si="0"/>
        <v>0</v>
      </c>
      <c r="J67" s="56"/>
      <c r="K67" s="59">
        <f>I67/درآمد!$M$12*100</f>
        <v>0</v>
      </c>
      <c r="L67" s="56"/>
      <c r="M67" s="56">
        <v>0</v>
      </c>
      <c r="N67" s="56"/>
      <c r="O67" s="56">
        <v>0</v>
      </c>
      <c r="P67" s="56"/>
      <c r="Q67" s="56">
        <f>VLOOKUP(A67,'درآمد ناشی از فروش'!A:Q,17,0)</f>
        <v>1683940890</v>
      </c>
      <c r="R67" s="56"/>
      <c r="S67" s="56">
        <f t="shared" si="1"/>
        <v>1683940890</v>
      </c>
      <c r="U67" s="59">
        <f>S67/درآمد!$F$12*100</f>
        <v>0.14873266740596727</v>
      </c>
    </row>
    <row r="68" spans="1:21" ht="18.75">
      <c r="A68" s="14" t="s">
        <v>105</v>
      </c>
      <c r="C68" s="56">
        <v>0</v>
      </c>
      <c r="D68" s="56"/>
      <c r="E68" s="56">
        <v>0</v>
      </c>
      <c r="F68" s="56"/>
      <c r="G68" s="56">
        <f>VLOOKUP(A68,'درآمد ناشی از فروش'!A:Q,9,0)</f>
        <v>0</v>
      </c>
      <c r="H68" s="56"/>
      <c r="I68" s="56">
        <f t="shared" si="0"/>
        <v>0</v>
      </c>
      <c r="J68" s="56"/>
      <c r="K68" s="59">
        <f>I68/درآمد!$M$12*100</f>
        <v>0</v>
      </c>
      <c r="L68" s="56"/>
      <c r="M68" s="56">
        <v>0</v>
      </c>
      <c r="N68" s="56"/>
      <c r="O68" s="56">
        <v>0</v>
      </c>
      <c r="P68" s="56"/>
      <c r="Q68" s="56">
        <f>VLOOKUP(A68,'درآمد ناشی از فروش'!A:Q,17,0)</f>
        <v>-395741379</v>
      </c>
      <c r="R68" s="56"/>
      <c r="S68" s="56">
        <f t="shared" si="1"/>
        <v>-395741379</v>
      </c>
      <c r="U68" s="59">
        <f>S68/درآمد!$F$12*100</f>
        <v>-3.4953525537102341E-2</v>
      </c>
    </row>
    <row r="69" spans="1:21" ht="18.75">
      <c r="A69" s="14" t="s">
        <v>108</v>
      </c>
      <c r="C69" s="56">
        <v>0</v>
      </c>
      <c r="D69" s="56"/>
      <c r="E69" s="56">
        <v>0</v>
      </c>
      <c r="F69" s="56"/>
      <c r="G69" s="56">
        <f>VLOOKUP(A69,'درآمد ناشی از فروش'!A:Q,9,0)</f>
        <v>0</v>
      </c>
      <c r="H69" s="56"/>
      <c r="I69" s="56">
        <f t="shared" si="0"/>
        <v>0</v>
      </c>
      <c r="J69" s="56"/>
      <c r="K69" s="59">
        <f>I69/درآمد!$M$12*100</f>
        <v>0</v>
      </c>
      <c r="L69" s="56"/>
      <c r="M69" s="56">
        <v>0</v>
      </c>
      <c r="N69" s="56"/>
      <c r="O69" s="56">
        <v>0</v>
      </c>
      <c r="P69" s="56"/>
      <c r="Q69" s="56">
        <f>VLOOKUP(A69,'درآمد ناشی از فروش'!A:Q,17,0)</f>
        <v>257526257</v>
      </c>
      <c r="R69" s="56"/>
      <c r="S69" s="56">
        <f t="shared" si="1"/>
        <v>257526257</v>
      </c>
      <c r="U69" s="59">
        <f>S69/درآمد!$F$12*100</f>
        <v>2.2745790756755514E-2</v>
      </c>
    </row>
    <row r="70" spans="1:21" ht="18.75">
      <c r="A70" s="14" t="s">
        <v>110</v>
      </c>
      <c r="C70" s="56">
        <v>0</v>
      </c>
      <c r="D70" s="56"/>
      <c r="E70" s="56">
        <v>0</v>
      </c>
      <c r="F70" s="56"/>
      <c r="G70" s="56">
        <f>VLOOKUP(A70,'درآمد ناشی از فروش'!A:Q,9,0)</f>
        <v>0</v>
      </c>
      <c r="H70" s="56"/>
      <c r="I70" s="56">
        <f t="shared" si="0"/>
        <v>0</v>
      </c>
      <c r="J70" s="56"/>
      <c r="K70" s="59">
        <f>I70/درآمد!$M$12*100</f>
        <v>0</v>
      </c>
      <c r="L70" s="56"/>
      <c r="M70" s="56">
        <v>0</v>
      </c>
      <c r="N70" s="56"/>
      <c r="O70" s="56">
        <v>0</v>
      </c>
      <c r="P70" s="56"/>
      <c r="Q70" s="56">
        <f>VLOOKUP(A70,'درآمد ناشی از فروش'!A:Q,17,0)</f>
        <v>972281837</v>
      </c>
      <c r="R70" s="56"/>
      <c r="S70" s="56">
        <f t="shared" si="1"/>
        <v>972281837</v>
      </c>
      <c r="U70" s="59">
        <f>S70/درآمد!$F$12*100</f>
        <v>8.5875978157038457E-2</v>
      </c>
    </row>
    <row r="71" spans="1:21" ht="18.75">
      <c r="A71" s="14" t="s">
        <v>111</v>
      </c>
      <c r="C71" s="56">
        <v>0</v>
      </c>
      <c r="D71" s="56"/>
      <c r="E71" s="56">
        <v>0</v>
      </c>
      <c r="F71" s="56"/>
      <c r="G71" s="56">
        <f>VLOOKUP(A71,'درآمد ناشی از فروش'!A:Q,9,0)</f>
        <v>0</v>
      </c>
      <c r="H71" s="56"/>
      <c r="I71" s="56">
        <f t="shared" si="0"/>
        <v>0</v>
      </c>
      <c r="J71" s="56"/>
      <c r="K71" s="59">
        <f>I71/درآمد!$M$12*100</f>
        <v>0</v>
      </c>
      <c r="L71" s="56"/>
      <c r="M71" s="56">
        <v>0</v>
      </c>
      <c r="N71" s="56"/>
      <c r="O71" s="56">
        <v>0</v>
      </c>
      <c r="P71" s="56"/>
      <c r="Q71" s="56">
        <f>VLOOKUP(A71,'درآمد ناشی از فروش'!A:Q,17,0)</f>
        <v>1679926800</v>
      </c>
      <c r="R71" s="56"/>
      <c r="S71" s="56">
        <f t="shared" si="1"/>
        <v>1679926800</v>
      </c>
      <c r="U71" s="59">
        <f>S71/درآمد!$F$12*100</f>
        <v>0.14837812627186156</v>
      </c>
    </row>
    <row r="72" spans="1:21" ht="21.75" customHeight="1">
      <c r="A72" s="14" t="s">
        <v>256</v>
      </c>
      <c r="C72" s="56">
        <v>0</v>
      </c>
      <c r="D72" s="56"/>
      <c r="E72" s="56">
        <f>VLOOKUP(A72,'درآمد ناشی از تغییر قیمت اوراق'!A:Q,9,0)</f>
        <v>280425333</v>
      </c>
      <c r="F72" s="56"/>
      <c r="G72" s="56">
        <v>0</v>
      </c>
      <c r="H72" s="56"/>
      <c r="I72" s="56">
        <f t="shared" si="0"/>
        <v>280425333</v>
      </c>
      <c r="J72" s="56"/>
      <c r="K72" s="59">
        <f>I72/درآمد!$M$12*100</f>
        <v>5.5329556891121283E-2</v>
      </c>
      <c r="L72" s="56"/>
      <c r="M72" s="56">
        <v>0</v>
      </c>
      <c r="N72" s="56"/>
      <c r="O72" s="56">
        <f>VLOOKUP(A72,'درآمد ناشی از تغییر قیمت اوراق'!A:Q,17,0)</f>
        <v>780307065</v>
      </c>
      <c r="P72" s="56"/>
      <c r="Q72" s="56">
        <v>0</v>
      </c>
      <c r="R72" s="56"/>
      <c r="S72" s="56">
        <f>M72+O72+Q72</f>
        <v>780307065</v>
      </c>
      <c r="U72" s="59">
        <f>S72/درآمد!$F$12*100</f>
        <v>6.8919967358932355E-2</v>
      </c>
    </row>
    <row r="73" spans="1:21" ht="18.75">
      <c r="A73" s="14" t="s">
        <v>39</v>
      </c>
      <c r="C73" s="56">
        <v>0</v>
      </c>
      <c r="D73" s="56"/>
      <c r="E73" s="56">
        <f>VLOOKUP(A73,'درآمد ناشی از تغییر قیمت اوراق'!A:Q,9,0)</f>
        <v>144251837</v>
      </c>
      <c r="F73" s="56"/>
      <c r="G73" s="56">
        <v>0</v>
      </c>
      <c r="H73" s="56"/>
      <c r="I73" s="56">
        <f t="shared" ref="I73:I118" si="2">C73+E73+G73</f>
        <v>144251837</v>
      </c>
      <c r="J73" s="56"/>
      <c r="K73" s="59">
        <f>I73/درآمد!$M$12*100</f>
        <v>2.8461730388460494E-2</v>
      </c>
      <c r="L73" s="56"/>
      <c r="M73" s="56">
        <v>0</v>
      </c>
      <c r="N73" s="56"/>
      <c r="O73" s="56">
        <f>VLOOKUP(A73,'درآمد ناشی از تغییر قیمت اوراق'!A:Q,17,0)</f>
        <v>3624073550</v>
      </c>
      <c r="P73" s="56"/>
      <c r="Q73" s="56">
        <v>0</v>
      </c>
      <c r="R73" s="56"/>
      <c r="S73" s="56">
        <f t="shared" si="1"/>
        <v>3624073550</v>
      </c>
      <c r="U73" s="59">
        <f>S73/درآمد!$F$12*100</f>
        <v>0.32009325812315964</v>
      </c>
    </row>
    <row r="74" spans="1:21" ht="18.75">
      <c r="A74" s="14" t="s">
        <v>25</v>
      </c>
      <c r="C74" s="56">
        <v>0</v>
      </c>
      <c r="D74" s="56"/>
      <c r="E74" s="56">
        <f>VLOOKUP(A74,'درآمد ناشی از تغییر قیمت اوراق'!A:Q,9,0)</f>
        <v>15124074687</v>
      </c>
      <c r="F74" s="56"/>
      <c r="G74" s="56">
        <v>0</v>
      </c>
      <c r="H74" s="56"/>
      <c r="I74" s="56">
        <f t="shared" si="2"/>
        <v>15124074687</v>
      </c>
      <c r="J74" s="56"/>
      <c r="K74" s="59">
        <f>I74/درآمد!$M$12*100</f>
        <v>2.9840683146124101</v>
      </c>
      <c r="L74" s="56"/>
      <c r="M74" s="56">
        <v>0</v>
      </c>
      <c r="N74" s="56"/>
      <c r="O74" s="56">
        <f>VLOOKUP(A74,'درآمد ناشی از تغییر قیمت اوراق'!A:Q,17,0)</f>
        <v>30881967173</v>
      </c>
      <c r="P74" s="56"/>
      <c r="Q74" s="56">
        <v>0</v>
      </c>
      <c r="R74" s="56"/>
      <c r="S74" s="56">
        <f t="shared" ref="S74:S118" si="3">M74+O74+Q74</f>
        <v>30881967173</v>
      </c>
      <c r="U74" s="59">
        <f>S74/درآمد!$F$12*100</f>
        <v>2.7276238611818546</v>
      </c>
    </row>
    <row r="75" spans="1:21" ht="18.75">
      <c r="A75" s="14" t="s">
        <v>267</v>
      </c>
      <c r="C75" s="56">
        <v>0</v>
      </c>
      <c r="D75" s="56"/>
      <c r="E75" s="56">
        <f>VLOOKUP(A75,'درآمد ناشی از تغییر قیمت اوراق'!A:Q,9,0)</f>
        <v>2384626125</v>
      </c>
      <c r="F75" s="56"/>
      <c r="G75" s="56">
        <v>0</v>
      </c>
      <c r="H75" s="56"/>
      <c r="I75" s="56">
        <f t="shared" si="2"/>
        <v>2384626125</v>
      </c>
      <c r="J75" s="56"/>
      <c r="K75" s="59">
        <f>I75/درآمد!$M$12*100</f>
        <v>0.47050066923604794</v>
      </c>
      <c r="L75" s="56"/>
      <c r="M75" s="56">
        <v>0</v>
      </c>
      <c r="N75" s="56"/>
      <c r="O75" s="56">
        <f>VLOOKUP(A75,'درآمد ناشی از تغییر قیمت اوراق'!A:Q,17,0)</f>
        <v>2384626125</v>
      </c>
      <c r="P75" s="56"/>
      <c r="Q75" s="56">
        <v>0</v>
      </c>
      <c r="R75" s="56"/>
      <c r="S75" s="56">
        <f t="shared" si="3"/>
        <v>2384626125</v>
      </c>
      <c r="U75" s="59">
        <f>S75/درآمد!$F$12*100</f>
        <v>0.21062010337976031</v>
      </c>
    </row>
    <row r="76" spans="1:21" ht="18.75">
      <c r="A76" s="14" t="s">
        <v>281</v>
      </c>
      <c r="C76" s="56">
        <v>0</v>
      </c>
      <c r="D76" s="56"/>
      <c r="E76" s="56">
        <f>VLOOKUP(A76,'درآمد ناشی از تغییر قیمت اوراق'!A:Q,9,0)</f>
        <v>86245269</v>
      </c>
      <c r="F76" s="56"/>
      <c r="G76" s="56">
        <v>0</v>
      </c>
      <c r="H76" s="56"/>
      <c r="I76" s="56">
        <f t="shared" si="2"/>
        <v>86245269</v>
      </c>
      <c r="J76" s="56"/>
      <c r="K76" s="59">
        <f>I76/درآمد!$M$12*100</f>
        <v>1.701669555555296E-2</v>
      </c>
      <c r="L76" s="56"/>
      <c r="M76" s="56">
        <v>0</v>
      </c>
      <c r="N76" s="56"/>
      <c r="O76" s="56">
        <f>VLOOKUP(A76,'درآمد ناشی از تغییر قیمت اوراق'!A:Q,17,0)</f>
        <v>0</v>
      </c>
      <c r="P76" s="56"/>
      <c r="Q76" s="56">
        <v>0</v>
      </c>
      <c r="R76" s="56"/>
      <c r="S76" s="56">
        <f t="shared" si="3"/>
        <v>0</v>
      </c>
      <c r="U76" s="59">
        <f>S76/درآمد!$F$12*100</f>
        <v>0</v>
      </c>
    </row>
    <row r="77" spans="1:21" ht="18.75">
      <c r="A77" s="14" t="s">
        <v>14</v>
      </c>
      <c r="C77" s="56">
        <v>0</v>
      </c>
      <c r="D77" s="56"/>
      <c r="E77" s="56">
        <v>0</v>
      </c>
      <c r="F77" s="56"/>
      <c r="G77" s="56">
        <v>0</v>
      </c>
      <c r="H77" s="56"/>
      <c r="I77" s="56">
        <f t="shared" si="2"/>
        <v>0</v>
      </c>
      <c r="J77" s="56"/>
      <c r="K77" s="59">
        <f>I77/درآمد!$M$12*100</f>
        <v>0</v>
      </c>
      <c r="L77" s="56"/>
      <c r="M77" s="56">
        <v>0</v>
      </c>
      <c r="N77" s="56"/>
      <c r="O77" s="56">
        <v>0</v>
      </c>
      <c r="P77" s="56"/>
      <c r="Q77" s="56">
        <f>VLOOKUP(A77,'درآمد اعمال اختیار'!A:L,12,0)</f>
        <v>26681292000</v>
      </c>
      <c r="R77" s="56"/>
      <c r="S77" s="56">
        <f t="shared" si="3"/>
        <v>26681292000</v>
      </c>
      <c r="U77" s="59">
        <f>S77/درآمد!$F$12*100</f>
        <v>2.3566027480914107</v>
      </c>
    </row>
    <row r="78" spans="1:21" ht="18.75">
      <c r="A78" s="14" t="s">
        <v>15</v>
      </c>
      <c r="C78" s="56">
        <v>0</v>
      </c>
      <c r="D78" s="56"/>
      <c r="E78" s="56">
        <v>0</v>
      </c>
      <c r="F78" s="56"/>
      <c r="G78" s="56">
        <v>0</v>
      </c>
      <c r="H78" s="56"/>
      <c r="I78" s="56">
        <f t="shared" si="2"/>
        <v>0</v>
      </c>
      <c r="J78" s="56"/>
      <c r="K78" s="59">
        <f>I78/درآمد!$M$12*100</f>
        <v>0</v>
      </c>
      <c r="L78" s="56"/>
      <c r="M78" s="56">
        <v>0</v>
      </c>
      <c r="N78" s="56"/>
      <c r="O78" s="56">
        <v>0</v>
      </c>
      <c r="P78" s="56"/>
      <c r="Q78" s="56">
        <f>VLOOKUP(A78,'درآمد اعمال اختیار'!A:L,12,0)</f>
        <v>8033896220</v>
      </c>
      <c r="R78" s="56"/>
      <c r="S78" s="56">
        <f t="shared" si="3"/>
        <v>8033896220</v>
      </c>
      <c r="U78" s="59">
        <f>S78/درآمد!$F$12*100</f>
        <v>0.70958714855087213</v>
      </c>
    </row>
    <row r="79" spans="1:21" ht="18.75">
      <c r="A79" s="14" t="s">
        <v>57</v>
      </c>
      <c r="C79" s="56">
        <v>0</v>
      </c>
      <c r="D79" s="56"/>
      <c r="E79" s="56">
        <v>0</v>
      </c>
      <c r="F79" s="56"/>
      <c r="G79" s="56">
        <v>0</v>
      </c>
      <c r="H79" s="56"/>
      <c r="I79" s="56">
        <f t="shared" si="2"/>
        <v>0</v>
      </c>
      <c r="J79" s="56"/>
      <c r="K79" s="59">
        <f>I79/درآمد!$M$12*100</f>
        <v>0</v>
      </c>
      <c r="L79" s="56"/>
      <c r="M79" s="56">
        <v>0</v>
      </c>
      <c r="N79" s="56"/>
      <c r="O79" s="56">
        <v>0</v>
      </c>
      <c r="P79" s="56"/>
      <c r="Q79" s="56">
        <f>VLOOKUP(A79,'درآمد اعمال اختیار'!A:L,12,0)</f>
        <v>-3029459071</v>
      </c>
      <c r="R79" s="56"/>
      <c r="S79" s="56">
        <f t="shared" si="3"/>
        <v>-3029459071</v>
      </c>
      <c r="U79" s="59">
        <f>S79/درآمد!$F$12*100</f>
        <v>-0.26757443275044746</v>
      </c>
    </row>
    <row r="80" spans="1:21" ht="18.75">
      <c r="A80" s="14" t="s">
        <v>54</v>
      </c>
      <c r="C80" s="56">
        <v>0</v>
      </c>
      <c r="D80" s="56"/>
      <c r="E80" s="56">
        <v>0</v>
      </c>
      <c r="F80" s="56"/>
      <c r="G80" s="56">
        <v>0</v>
      </c>
      <c r="H80" s="56"/>
      <c r="I80" s="56">
        <f t="shared" si="2"/>
        <v>0</v>
      </c>
      <c r="J80" s="56"/>
      <c r="K80" s="59">
        <f>I80/درآمد!$M$12*100</f>
        <v>0</v>
      </c>
      <c r="L80" s="56"/>
      <c r="M80" s="56">
        <v>0</v>
      </c>
      <c r="N80" s="56"/>
      <c r="O80" s="56">
        <v>0</v>
      </c>
      <c r="P80" s="56"/>
      <c r="Q80" s="56">
        <f>VLOOKUP(A80,'درآمد اعمال اختیار'!A:L,12,0)</f>
        <v>-1248658548</v>
      </c>
      <c r="R80" s="56"/>
      <c r="S80" s="56">
        <f t="shared" si="3"/>
        <v>-1248658548</v>
      </c>
      <c r="U80" s="59">
        <f>S80/درآمد!$F$12*100</f>
        <v>-0.1102867194603856</v>
      </c>
    </row>
    <row r="81" spans="1:21" ht="18.75">
      <c r="A81" s="14" t="s">
        <v>56</v>
      </c>
      <c r="C81" s="56">
        <v>0</v>
      </c>
      <c r="D81" s="56"/>
      <c r="E81" s="56">
        <v>0</v>
      </c>
      <c r="F81" s="56"/>
      <c r="G81" s="56">
        <v>0</v>
      </c>
      <c r="H81" s="56"/>
      <c r="I81" s="56">
        <f t="shared" si="2"/>
        <v>0</v>
      </c>
      <c r="J81" s="56"/>
      <c r="K81" s="59">
        <f>I81/درآمد!$M$12*100</f>
        <v>0</v>
      </c>
      <c r="L81" s="56"/>
      <c r="M81" s="56">
        <v>0</v>
      </c>
      <c r="N81" s="56"/>
      <c r="O81" s="56">
        <v>0</v>
      </c>
      <c r="P81" s="56"/>
      <c r="Q81" s="56">
        <f>VLOOKUP(A81,'درآمد اعمال اختیار'!A:L,12,0)</f>
        <v>-1937672849</v>
      </c>
      <c r="R81" s="56"/>
      <c r="S81" s="56">
        <f t="shared" si="3"/>
        <v>-1937672849</v>
      </c>
      <c r="U81" s="59">
        <f>S81/درآمد!$F$12*100</f>
        <v>-0.17114332997275819</v>
      </c>
    </row>
    <row r="82" spans="1:21" ht="18.75">
      <c r="A82" s="14" t="s">
        <v>16</v>
      </c>
      <c r="C82" s="56">
        <v>0</v>
      </c>
      <c r="D82" s="56"/>
      <c r="E82" s="56">
        <v>0</v>
      </c>
      <c r="F82" s="56"/>
      <c r="G82" s="56">
        <v>0</v>
      </c>
      <c r="H82" s="56"/>
      <c r="I82" s="56">
        <f t="shared" si="2"/>
        <v>0</v>
      </c>
      <c r="J82" s="56"/>
      <c r="K82" s="59">
        <f>I82/درآمد!$M$12*100</f>
        <v>0</v>
      </c>
      <c r="L82" s="56"/>
      <c r="M82" s="56">
        <v>0</v>
      </c>
      <c r="N82" s="56"/>
      <c r="O82" s="56">
        <v>0</v>
      </c>
      <c r="P82" s="56"/>
      <c r="Q82" s="56">
        <f>VLOOKUP(A82,'درآمد اعمال اختیار'!A:L,12,0)</f>
        <v>739629290</v>
      </c>
      <c r="R82" s="56"/>
      <c r="S82" s="56">
        <f t="shared" si="3"/>
        <v>739629290</v>
      </c>
      <c r="U82" s="59">
        <f>S82/درآمد!$F$12*100</f>
        <v>6.5327136983580059E-2</v>
      </c>
    </row>
    <row r="83" spans="1:21" ht="18.75">
      <c r="A83" s="14" t="s">
        <v>59</v>
      </c>
      <c r="C83" s="56">
        <v>0</v>
      </c>
      <c r="D83" s="56"/>
      <c r="E83" s="56">
        <v>0</v>
      </c>
      <c r="F83" s="56"/>
      <c r="G83" s="56">
        <v>0</v>
      </c>
      <c r="H83" s="56"/>
      <c r="I83" s="56">
        <f t="shared" si="2"/>
        <v>0</v>
      </c>
      <c r="J83" s="56"/>
      <c r="K83" s="59">
        <f>I83/درآمد!$M$12*100</f>
        <v>0</v>
      </c>
      <c r="L83" s="56"/>
      <c r="M83" s="56">
        <v>0</v>
      </c>
      <c r="N83" s="56"/>
      <c r="O83" s="56">
        <v>0</v>
      </c>
      <c r="P83" s="56"/>
      <c r="Q83" s="56">
        <f>VLOOKUP(A83,'درآمد اعمال اختیار'!A:L,12,0)</f>
        <v>120105126</v>
      </c>
      <c r="R83" s="56"/>
      <c r="S83" s="56">
        <f t="shared" si="3"/>
        <v>120105126</v>
      </c>
      <c r="U83" s="59">
        <f>S83/درآمد!$F$12*100</f>
        <v>1.0608184565854798E-2</v>
      </c>
    </row>
    <row r="84" spans="1:21" ht="18.75">
      <c r="A84" s="14" t="s">
        <v>221</v>
      </c>
      <c r="C84" s="56">
        <v>0</v>
      </c>
      <c r="D84" s="56"/>
      <c r="E84" s="56">
        <v>0</v>
      </c>
      <c r="F84" s="56"/>
      <c r="G84" s="56">
        <v>0</v>
      </c>
      <c r="H84" s="56"/>
      <c r="I84" s="56">
        <f t="shared" si="2"/>
        <v>0</v>
      </c>
      <c r="J84" s="56"/>
      <c r="K84" s="59">
        <f>I84/درآمد!$M$12*100</f>
        <v>0</v>
      </c>
      <c r="L84" s="56"/>
      <c r="M84" s="56">
        <v>0</v>
      </c>
      <c r="N84" s="56"/>
      <c r="O84" s="56">
        <v>0</v>
      </c>
      <c r="P84" s="56"/>
      <c r="Q84" s="56">
        <f>VLOOKUP(A84,'درآمد اعمال اختیار'!A:L,12,0)</f>
        <v>6591023021</v>
      </c>
      <c r="R84" s="56"/>
      <c r="S84" s="56">
        <f t="shared" si="3"/>
        <v>6591023021</v>
      </c>
      <c r="U84" s="59">
        <f>S84/درآمد!$F$12*100</f>
        <v>0.58214658285747001</v>
      </c>
    </row>
    <row r="85" spans="1:21" ht="18.75">
      <c r="A85" s="14" t="s">
        <v>199</v>
      </c>
      <c r="C85" s="56">
        <v>0</v>
      </c>
      <c r="D85" s="56"/>
      <c r="E85" s="56">
        <v>0</v>
      </c>
      <c r="F85" s="56"/>
      <c r="G85" s="56">
        <v>0</v>
      </c>
      <c r="H85" s="56"/>
      <c r="I85" s="56">
        <f t="shared" si="2"/>
        <v>0</v>
      </c>
      <c r="J85" s="56"/>
      <c r="K85" s="59">
        <f>I85/درآمد!$M$12*100</f>
        <v>0</v>
      </c>
      <c r="L85" s="56"/>
      <c r="M85" s="56">
        <v>0</v>
      </c>
      <c r="N85" s="56"/>
      <c r="O85" s="56">
        <v>0</v>
      </c>
      <c r="P85" s="56"/>
      <c r="Q85" s="56">
        <f>VLOOKUP(A85,'درآمد اعمال اختیار'!A:L,12,0)</f>
        <v>-74644702</v>
      </c>
      <c r="R85" s="56"/>
      <c r="S85" s="56">
        <f t="shared" si="3"/>
        <v>-74644702</v>
      </c>
      <c r="U85" s="59">
        <f>S85/درآمد!$F$12*100</f>
        <v>-6.592930727030176E-3</v>
      </c>
    </row>
    <row r="86" spans="1:21" ht="18.75">
      <c r="A86" s="14" t="s">
        <v>200</v>
      </c>
      <c r="C86" s="56">
        <v>0</v>
      </c>
      <c r="D86" s="56"/>
      <c r="E86" s="56">
        <v>0</v>
      </c>
      <c r="F86" s="56"/>
      <c r="G86" s="56">
        <v>0</v>
      </c>
      <c r="H86" s="56"/>
      <c r="I86" s="56">
        <f t="shared" si="2"/>
        <v>0</v>
      </c>
      <c r="J86" s="56"/>
      <c r="K86" s="59">
        <f>I86/درآمد!$M$12*100</f>
        <v>0</v>
      </c>
      <c r="L86" s="56"/>
      <c r="M86" s="56">
        <v>0</v>
      </c>
      <c r="N86" s="56"/>
      <c r="O86" s="56">
        <v>0</v>
      </c>
      <c r="P86" s="56"/>
      <c r="Q86" s="56">
        <f>VLOOKUP(A86,'درآمد اعمال اختیار'!A:L,12,0)</f>
        <v>-78966135958</v>
      </c>
      <c r="R86" s="56"/>
      <c r="S86" s="56">
        <f t="shared" si="3"/>
        <v>-78966135958</v>
      </c>
      <c r="U86" s="59">
        <f>S86/درآمد!$F$12*100</f>
        <v>-6.9746177585696651</v>
      </c>
    </row>
    <row r="87" spans="1:21" ht="18.75">
      <c r="A87" s="14" t="s">
        <v>201</v>
      </c>
      <c r="C87" s="56">
        <v>0</v>
      </c>
      <c r="D87" s="56"/>
      <c r="E87" s="56">
        <v>0</v>
      </c>
      <c r="F87" s="56"/>
      <c r="G87" s="56">
        <v>0</v>
      </c>
      <c r="H87" s="56"/>
      <c r="I87" s="56">
        <f t="shared" si="2"/>
        <v>0</v>
      </c>
      <c r="J87" s="56"/>
      <c r="K87" s="59">
        <f>I87/درآمد!$M$12*100</f>
        <v>0</v>
      </c>
      <c r="L87" s="56"/>
      <c r="M87" s="56">
        <v>0</v>
      </c>
      <c r="N87" s="56"/>
      <c r="O87" s="56">
        <v>0</v>
      </c>
      <c r="P87" s="56"/>
      <c r="Q87" s="56">
        <f>VLOOKUP(A87,'درآمد اعمال اختیار'!A:L,12,0)</f>
        <v>-5175874496</v>
      </c>
      <c r="R87" s="56"/>
      <c r="S87" s="56">
        <f t="shared" si="3"/>
        <v>-5175874496</v>
      </c>
      <c r="U87" s="59">
        <f>S87/درآمد!$F$12*100</f>
        <v>-0.4571547757526076</v>
      </c>
    </row>
    <row r="88" spans="1:21" ht="18.75">
      <c r="A88" s="14" t="s">
        <v>123</v>
      </c>
      <c r="C88" s="56">
        <v>0</v>
      </c>
      <c r="D88" s="56"/>
      <c r="E88" s="56">
        <v>0</v>
      </c>
      <c r="F88" s="56"/>
      <c r="G88" s="56">
        <v>0</v>
      </c>
      <c r="H88" s="56"/>
      <c r="I88" s="56">
        <f t="shared" si="2"/>
        <v>0</v>
      </c>
      <c r="J88" s="56"/>
      <c r="K88" s="59">
        <f>I88/درآمد!$M$12*100</f>
        <v>0</v>
      </c>
      <c r="L88" s="56"/>
      <c r="M88" s="56">
        <v>0</v>
      </c>
      <c r="N88" s="56"/>
      <c r="O88" s="56">
        <v>0</v>
      </c>
      <c r="P88" s="56"/>
      <c r="Q88" s="56">
        <f>VLOOKUP(A88,'درآمد اعمال اختیار'!A:L,12,0)</f>
        <v>1100694816</v>
      </c>
      <c r="R88" s="56"/>
      <c r="S88" s="56">
        <f t="shared" si="3"/>
        <v>1100694816</v>
      </c>
      <c r="U88" s="59">
        <f>S88/درآمد!$F$12*100</f>
        <v>9.7217946874370603E-2</v>
      </c>
    </row>
    <row r="89" spans="1:21" ht="18.75">
      <c r="A89" s="14" t="s">
        <v>202</v>
      </c>
      <c r="C89" s="56">
        <v>0</v>
      </c>
      <c r="D89" s="56"/>
      <c r="E89" s="56">
        <v>0</v>
      </c>
      <c r="F89" s="56"/>
      <c r="G89" s="56">
        <v>0</v>
      </c>
      <c r="H89" s="56"/>
      <c r="I89" s="56">
        <f t="shared" si="2"/>
        <v>0</v>
      </c>
      <c r="J89" s="56"/>
      <c r="K89" s="59">
        <f>I89/درآمد!$M$12*100</f>
        <v>0</v>
      </c>
      <c r="L89" s="56"/>
      <c r="M89" s="56">
        <v>0</v>
      </c>
      <c r="N89" s="56"/>
      <c r="O89" s="56">
        <v>0</v>
      </c>
      <c r="P89" s="56"/>
      <c r="Q89" s="56">
        <f>VLOOKUP(A89,'درآمد اعمال اختیار'!A:L,12,0)</f>
        <v>18084538513</v>
      </c>
      <c r="R89" s="56"/>
      <c r="S89" s="56">
        <f t="shared" si="3"/>
        <v>18084538513</v>
      </c>
      <c r="U89" s="59">
        <f>S89/درآمد!$F$12*100</f>
        <v>1.5973017032946062</v>
      </c>
    </row>
    <row r="90" spans="1:21" ht="18.75">
      <c r="A90" s="14" t="s">
        <v>129</v>
      </c>
      <c r="C90" s="56">
        <v>0</v>
      </c>
      <c r="D90" s="56"/>
      <c r="E90" s="56">
        <v>0</v>
      </c>
      <c r="F90" s="56"/>
      <c r="G90" s="56">
        <v>0</v>
      </c>
      <c r="H90" s="56"/>
      <c r="I90" s="56">
        <f t="shared" si="2"/>
        <v>0</v>
      </c>
      <c r="J90" s="56"/>
      <c r="K90" s="59">
        <f>I90/درآمد!$M$12*100</f>
        <v>0</v>
      </c>
      <c r="L90" s="56"/>
      <c r="M90" s="56">
        <v>0</v>
      </c>
      <c r="N90" s="56"/>
      <c r="O90" s="56">
        <v>0</v>
      </c>
      <c r="P90" s="56"/>
      <c r="Q90" s="56">
        <f>VLOOKUP(A90,'درآمد اعمال اختیار'!A:L,12,0)</f>
        <v>-434820619</v>
      </c>
      <c r="R90" s="56"/>
      <c r="S90" s="56">
        <f t="shared" si="3"/>
        <v>-434820619</v>
      </c>
      <c r="U90" s="59">
        <f>S90/درآمد!$F$12*100</f>
        <v>-3.8405166648684333E-2</v>
      </c>
    </row>
    <row r="91" spans="1:21" ht="18.75">
      <c r="A91" s="14" t="s">
        <v>203</v>
      </c>
      <c r="C91" s="56">
        <v>0</v>
      </c>
      <c r="D91" s="56"/>
      <c r="E91" s="56">
        <v>0</v>
      </c>
      <c r="F91" s="56"/>
      <c r="G91" s="56">
        <v>0</v>
      </c>
      <c r="H91" s="56"/>
      <c r="I91" s="56">
        <f t="shared" si="2"/>
        <v>0</v>
      </c>
      <c r="J91" s="56"/>
      <c r="K91" s="59">
        <f>I91/درآمد!$M$12*100</f>
        <v>0</v>
      </c>
      <c r="L91" s="56"/>
      <c r="M91" s="56">
        <v>0</v>
      </c>
      <c r="N91" s="56"/>
      <c r="O91" s="56">
        <v>0</v>
      </c>
      <c r="P91" s="56"/>
      <c r="Q91" s="56">
        <f>VLOOKUP(A91,'درآمد اعمال اختیار'!A:L,12,0)</f>
        <v>51768353810</v>
      </c>
      <c r="R91" s="56"/>
      <c r="S91" s="56">
        <f t="shared" si="3"/>
        <v>51768353810</v>
      </c>
      <c r="U91" s="59">
        <f>S91/درآمد!$F$12*100</f>
        <v>4.5723964511469104</v>
      </c>
    </row>
    <row r="92" spans="1:21" ht="18.75">
      <c r="A92" s="14" t="s">
        <v>204</v>
      </c>
      <c r="C92" s="56">
        <v>0</v>
      </c>
      <c r="D92" s="56"/>
      <c r="E92" s="56">
        <v>0</v>
      </c>
      <c r="F92" s="56"/>
      <c r="G92" s="56">
        <v>0</v>
      </c>
      <c r="H92" s="56"/>
      <c r="I92" s="56">
        <f t="shared" si="2"/>
        <v>0</v>
      </c>
      <c r="J92" s="56"/>
      <c r="K92" s="59">
        <f>I92/درآمد!$M$12*100</f>
        <v>0</v>
      </c>
      <c r="L92" s="56"/>
      <c r="M92" s="56">
        <v>0</v>
      </c>
      <c r="N92" s="56"/>
      <c r="O92" s="56">
        <v>0</v>
      </c>
      <c r="P92" s="56"/>
      <c r="Q92" s="56">
        <f>VLOOKUP(A92,'درآمد اعمال اختیار'!A:L,12,0)</f>
        <v>2845967378</v>
      </c>
      <c r="R92" s="56"/>
      <c r="S92" s="56">
        <f t="shared" si="3"/>
        <v>2845967378</v>
      </c>
      <c r="U92" s="59">
        <f>S92/درآمد!$F$12*100</f>
        <v>0.25136768279337096</v>
      </c>
    </row>
    <row r="93" spans="1:21" ht="18.75">
      <c r="A93" s="14" t="s">
        <v>205</v>
      </c>
      <c r="C93" s="56">
        <v>0</v>
      </c>
      <c r="D93" s="56"/>
      <c r="E93" s="56">
        <v>0</v>
      </c>
      <c r="F93" s="56"/>
      <c r="G93" s="56">
        <v>0</v>
      </c>
      <c r="H93" s="56"/>
      <c r="I93" s="56">
        <f t="shared" si="2"/>
        <v>0</v>
      </c>
      <c r="J93" s="56"/>
      <c r="K93" s="59">
        <f>I93/درآمد!$M$12*100</f>
        <v>0</v>
      </c>
      <c r="L93" s="56"/>
      <c r="M93" s="56">
        <v>0</v>
      </c>
      <c r="N93" s="56"/>
      <c r="O93" s="56">
        <v>0</v>
      </c>
      <c r="P93" s="56"/>
      <c r="Q93" s="56">
        <f>VLOOKUP(A93,'درآمد اعمال اختیار'!A:L,12,0)</f>
        <v>-79077</v>
      </c>
      <c r="R93" s="56"/>
      <c r="S93" s="56">
        <f t="shared" si="3"/>
        <v>-79077</v>
      </c>
      <c r="U93" s="59">
        <f>S93/درآمد!$F$12*100</f>
        <v>-6.9844097321383261E-6</v>
      </c>
    </row>
    <row r="94" spans="1:21" ht="18.75">
      <c r="A94" s="14" t="s">
        <v>206</v>
      </c>
      <c r="C94" s="56">
        <v>0</v>
      </c>
      <c r="D94" s="56"/>
      <c r="E94" s="56">
        <v>0</v>
      </c>
      <c r="F94" s="56"/>
      <c r="G94" s="56">
        <v>0</v>
      </c>
      <c r="H94" s="56"/>
      <c r="I94" s="56">
        <f t="shared" si="2"/>
        <v>0</v>
      </c>
      <c r="J94" s="56"/>
      <c r="K94" s="59">
        <f>I94/درآمد!$M$12*100</f>
        <v>0</v>
      </c>
      <c r="L94" s="56"/>
      <c r="M94" s="56">
        <v>0</v>
      </c>
      <c r="N94" s="56"/>
      <c r="O94" s="56">
        <v>0</v>
      </c>
      <c r="P94" s="56"/>
      <c r="Q94" s="56">
        <f>VLOOKUP(A94,'درآمد اعمال اختیار'!A:L,12,0)</f>
        <v>10041497421</v>
      </c>
      <c r="R94" s="56"/>
      <c r="S94" s="56">
        <f t="shared" si="3"/>
        <v>10041497421</v>
      </c>
      <c r="U94" s="59">
        <f>S94/درآمد!$F$12*100</f>
        <v>0.88690684159078248</v>
      </c>
    </row>
    <row r="95" spans="1:21" ht="18.75">
      <c r="A95" s="14" t="s">
        <v>207</v>
      </c>
      <c r="C95" s="56">
        <v>0</v>
      </c>
      <c r="D95" s="56"/>
      <c r="E95" s="56">
        <v>0</v>
      </c>
      <c r="F95" s="56"/>
      <c r="G95" s="56">
        <v>0</v>
      </c>
      <c r="H95" s="56"/>
      <c r="I95" s="56">
        <f t="shared" si="2"/>
        <v>0</v>
      </c>
      <c r="J95" s="56"/>
      <c r="K95" s="59">
        <f>I95/درآمد!$M$12*100</f>
        <v>0</v>
      </c>
      <c r="L95" s="56"/>
      <c r="M95" s="56">
        <v>0</v>
      </c>
      <c r="N95" s="56"/>
      <c r="O95" s="56">
        <v>0</v>
      </c>
      <c r="P95" s="56"/>
      <c r="Q95" s="56">
        <f>VLOOKUP(A95,'درآمد اعمال اختیار'!A:L,12,0)</f>
        <v>18072244036</v>
      </c>
      <c r="R95" s="56"/>
      <c r="S95" s="56">
        <f t="shared" si="3"/>
        <v>18072244036</v>
      </c>
      <c r="U95" s="59">
        <f>S95/درآمد!$F$12*100</f>
        <v>1.5962158039204473</v>
      </c>
    </row>
    <row r="96" spans="1:21" ht="18.75">
      <c r="A96" s="14" t="s">
        <v>208</v>
      </c>
      <c r="C96" s="56">
        <v>0</v>
      </c>
      <c r="D96" s="56"/>
      <c r="E96" s="56">
        <v>0</v>
      </c>
      <c r="F96" s="56"/>
      <c r="G96" s="56">
        <v>0</v>
      </c>
      <c r="H96" s="56"/>
      <c r="I96" s="56">
        <f t="shared" si="2"/>
        <v>0</v>
      </c>
      <c r="J96" s="56"/>
      <c r="K96" s="59">
        <f>I96/درآمد!$M$12*100</f>
        <v>0</v>
      </c>
      <c r="L96" s="56"/>
      <c r="M96" s="56">
        <v>0</v>
      </c>
      <c r="N96" s="56"/>
      <c r="O96" s="56">
        <v>0</v>
      </c>
      <c r="P96" s="56"/>
      <c r="Q96" s="56">
        <f>VLOOKUP(A96,'درآمد اعمال اختیار'!A:L,12,0)</f>
        <v>8996148</v>
      </c>
      <c r="R96" s="56"/>
      <c r="S96" s="56">
        <f t="shared" si="3"/>
        <v>8996148</v>
      </c>
      <c r="U96" s="59">
        <f>S96/درآمد!$F$12*100</f>
        <v>7.9457723033191368E-4</v>
      </c>
    </row>
    <row r="97" spans="1:21" ht="18.75">
      <c r="A97" s="14" t="s">
        <v>209</v>
      </c>
      <c r="C97" s="56">
        <v>0</v>
      </c>
      <c r="D97" s="56"/>
      <c r="E97" s="56">
        <v>0</v>
      </c>
      <c r="F97" s="56"/>
      <c r="G97" s="56">
        <v>0</v>
      </c>
      <c r="H97" s="56"/>
      <c r="I97" s="56">
        <f t="shared" si="2"/>
        <v>0</v>
      </c>
      <c r="J97" s="56"/>
      <c r="K97" s="59">
        <f>I97/درآمد!$M$12*100</f>
        <v>0</v>
      </c>
      <c r="L97" s="56"/>
      <c r="M97" s="56">
        <v>0</v>
      </c>
      <c r="N97" s="56"/>
      <c r="O97" s="56">
        <v>0</v>
      </c>
      <c r="P97" s="56"/>
      <c r="Q97" s="56">
        <f>VLOOKUP(A97,'درآمد اعمال اختیار'!A:L,12,0)</f>
        <v>569880595</v>
      </c>
      <c r="R97" s="56"/>
      <c r="S97" s="56">
        <f t="shared" si="3"/>
        <v>569880595</v>
      </c>
      <c r="U97" s="59">
        <f>S97/درآمد!$F$12*100</f>
        <v>5.0334225803644293E-2</v>
      </c>
    </row>
    <row r="98" spans="1:21" ht="18.75">
      <c r="A98" s="14" t="s">
        <v>210</v>
      </c>
      <c r="C98" s="56">
        <v>0</v>
      </c>
      <c r="D98" s="56"/>
      <c r="E98" s="56">
        <v>0</v>
      </c>
      <c r="F98" s="56"/>
      <c r="G98" s="56">
        <v>0</v>
      </c>
      <c r="H98" s="56"/>
      <c r="I98" s="56">
        <f t="shared" si="2"/>
        <v>0</v>
      </c>
      <c r="J98" s="56"/>
      <c r="K98" s="59">
        <f>I98/درآمد!$M$12*100</f>
        <v>0</v>
      </c>
      <c r="L98" s="56"/>
      <c r="M98" s="56">
        <v>0</v>
      </c>
      <c r="N98" s="56"/>
      <c r="O98" s="56">
        <v>0</v>
      </c>
      <c r="P98" s="56"/>
      <c r="Q98" s="56">
        <f>VLOOKUP(A98,'درآمد اعمال اختیار'!A:L,12,0)</f>
        <v>16340590247</v>
      </c>
      <c r="R98" s="56"/>
      <c r="S98" s="56">
        <f t="shared" si="3"/>
        <v>16340590247</v>
      </c>
      <c r="U98" s="59">
        <f>S98/درآمد!$F$12*100</f>
        <v>1.4432689347096048</v>
      </c>
    </row>
    <row r="99" spans="1:21" ht="18.75">
      <c r="A99" s="14" t="s">
        <v>211</v>
      </c>
      <c r="C99" s="56">
        <v>0</v>
      </c>
      <c r="D99" s="56"/>
      <c r="E99" s="56">
        <v>0</v>
      </c>
      <c r="F99" s="56"/>
      <c r="G99" s="56">
        <v>0</v>
      </c>
      <c r="H99" s="56"/>
      <c r="I99" s="56">
        <f t="shared" si="2"/>
        <v>0</v>
      </c>
      <c r="J99" s="56"/>
      <c r="K99" s="59">
        <f>I99/درآمد!$M$12*100</f>
        <v>0</v>
      </c>
      <c r="L99" s="56"/>
      <c r="M99" s="56">
        <v>0</v>
      </c>
      <c r="N99" s="56"/>
      <c r="O99" s="56">
        <v>0</v>
      </c>
      <c r="P99" s="56"/>
      <c r="Q99" s="56">
        <f>VLOOKUP(A99,'درآمد اعمال اختیار'!A:L,12,0)</f>
        <v>638684427</v>
      </c>
      <c r="R99" s="56"/>
      <c r="S99" s="56">
        <f t="shared" si="3"/>
        <v>638684427</v>
      </c>
      <c r="U99" s="59">
        <f>S99/درآمد!$F$12*100</f>
        <v>5.6411266584518768E-2</v>
      </c>
    </row>
    <row r="100" spans="1:21" ht="18.75">
      <c r="A100" s="14" t="s">
        <v>212</v>
      </c>
      <c r="C100" s="56">
        <v>0</v>
      </c>
      <c r="D100" s="56"/>
      <c r="E100" s="56">
        <v>0</v>
      </c>
      <c r="F100" s="56"/>
      <c r="G100" s="56">
        <v>0</v>
      </c>
      <c r="H100" s="56"/>
      <c r="I100" s="56">
        <f t="shared" si="2"/>
        <v>0</v>
      </c>
      <c r="J100" s="56"/>
      <c r="K100" s="59">
        <f>I100/درآمد!$M$12*100</f>
        <v>0</v>
      </c>
      <c r="L100" s="56"/>
      <c r="M100" s="56">
        <v>0</v>
      </c>
      <c r="N100" s="56"/>
      <c r="O100" s="56">
        <v>0</v>
      </c>
      <c r="P100" s="56"/>
      <c r="Q100" s="56">
        <f>VLOOKUP(A100,'درآمد اعمال اختیار'!A:L,12,0)</f>
        <v>65180344</v>
      </c>
      <c r="R100" s="56"/>
      <c r="S100" s="56">
        <f t="shared" si="3"/>
        <v>65180344</v>
      </c>
      <c r="U100" s="59">
        <f>S100/درآمد!$F$12*100</f>
        <v>5.7569992409641736E-3</v>
      </c>
    </row>
    <row r="101" spans="1:21" ht="18.75">
      <c r="A101" s="14" t="s">
        <v>213</v>
      </c>
      <c r="C101" s="56">
        <v>0</v>
      </c>
      <c r="D101" s="56"/>
      <c r="E101" s="56">
        <v>0</v>
      </c>
      <c r="F101" s="56"/>
      <c r="G101" s="56">
        <v>0</v>
      </c>
      <c r="H101" s="56"/>
      <c r="I101" s="56">
        <f t="shared" si="2"/>
        <v>0</v>
      </c>
      <c r="J101" s="56"/>
      <c r="K101" s="59">
        <f>I101/درآمد!$M$12*100</f>
        <v>0</v>
      </c>
      <c r="L101" s="56"/>
      <c r="M101" s="56">
        <v>0</v>
      </c>
      <c r="N101" s="56"/>
      <c r="O101" s="56">
        <v>0</v>
      </c>
      <c r="P101" s="56"/>
      <c r="Q101" s="56">
        <f>VLOOKUP(A101,'درآمد اعمال اختیار'!A:L,12,0)</f>
        <v>2432450151</v>
      </c>
      <c r="R101" s="56"/>
      <c r="S101" s="56">
        <f t="shared" si="3"/>
        <v>2432450151</v>
      </c>
      <c r="U101" s="59">
        <f>S101/درآمد!$F$12*100</f>
        <v>0.21484412038374928</v>
      </c>
    </row>
    <row r="102" spans="1:21" ht="18.75">
      <c r="A102" s="14" t="s">
        <v>214</v>
      </c>
      <c r="C102" s="56">
        <v>0</v>
      </c>
      <c r="D102" s="56"/>
      <c r="E102" s="56">
        <v>0</v>
      </c>
      <c r="F102" s="56"/>
      <c r="G102" s="56">
        <v>0</v>
      </c>
      <c r="H102" s="56"/>
      <c r="I102" s="56">
        <f t="shared" si="2"/>
        <v>0</v>
      </c>
      <c r="J102" s="56"/>
      <c r="K102" s="59">
        <f>I102/درآمد!$M$12*100</f>
        <v>0</v>
      </c>
      <c r="L102" s="56"/>
      <c r="M102" s="56">
        <v>0</v>
      </c>
      <c r="N102" s="56"/>
      <c r="O102" s="56">
        <v>0</v>
      </c>
      <c r="P102" s="56"/>
      <c r="Q102" s="56">
        <f>VLOOKUP(A102,'درآمد اعمال اختیار'!A:L,12,0)</f>
        <v>4653581121</v>
      </c>
      <c r="R102" s="56"/>
      <c r="S102" s="56">
        <f t="shared" si="3"/>
        <v>4653581121</v>
      </c>
      <c r="U102" s="59">
        <f>S102/درآمد!$F$12*100</f>
        <v>0.41102365126152463</v>
      </c>
    </row>
    <row r="103" spans="1:21" ht="18.75">
      <c r="A103" s="14" t="s">
        <v>215</v>
      </c>
      <c r="C103" s="56">
        <v>0</v>
      </c>
      <c r="D103" s="56"/>
      <c r="E103" s="56">
        <v>0</v>
      </c>
      <c r="F103" s="56"/>
      <c r="G103" s="56">
        <v>0</v>
      </c>
      <c r="H103" s="56"/>
      <c r="I103" s="56">
        <f t="shared" si="2"/>
        <v>0</v>
      </c>
      <c r="J103" s="56"/>
      <c r="K103" s="59">
        <f>I103/درآمد!$M$12*100</f>
        <v>0</v>
      </c>
      <c r="L103" s="56"/>
      <c r="M103" s="56">
        <v>0</v>
      </c>
      <c r="N103" s="56"/>
      <c r="O103" s="56">
        <v>0</v>
      </c>
      <c r="P103" s="56"/>
      <c r="Q103" s="56">
        <f>VLOOKUP(A103,'درآمد اعمال اختیار'!A:L,12,0)</f>
        <v>8367372544</v>
      </c>
      <c r="R103" s="56"/>
      <c r="S103" s="56">
        <f t="shared" si="3"/>
        <v>8367372544</v>
      </c>
      <c r="U103" s="59">
        <f>S103/درآمد!$F$12*100</f>
        <v>0.73904116530395225</v>
      </c>
    </row>
    <row r="104" spans="1:21" ht="18.75">
      <c r="A104" s="14" t="s">
        <v>216</v>
      </c>
      <c r="C104" s="56">
        <v>0</v>
      </c>
      <c r="D104" s="56"/>
      <c r="E104" s="56">
        <v>0</v>
      </c>
      <c r="F104" s="56"/>
      <c r="G104" s="56">
        <v>0</v>
      </c>
      <c r="H104" s="56"/>
      <c r="I104" s="56">
        <f t="shared" si="2"/>
        <v>0</v>
      </c>
      <c r="J104" s="56"/>
      <c r="K104" s="59">
        <f>I104/درآمد!$M$12*100</f>
        <v>0</v>
      </c>
      <c r="L104" s="56"/>
      <c r="M104" s="56">
        <v>0</v>
      </c>
      <c r="N104" s="56"/>
      <c r="O104" s="56">
        <v>0</v>
      </c>
      <c r="P104" s="56"/>
      <c r="Q104" s="56">
        <f>VLOOKUP(A104,'درآمد اعمال اختیار'!A:L,12,0)</f>
        <v>391285672</v>
      </c>
      <c r="R104" s="56"/>
      <c r="S104" s="56">
        <f t="shared" si="3"/>
        <v>391285672</v>
      </c>
      <c r="U104" s="59">
        <f>S104/درآمد!$F$12*100</f>
        <v>3.4559978951693729E-2</v>
      </c>
    </row>
    <row r="105" spans="1:21" ht="18.75">
      <c r="A105" s="14" t="s">
        <v>217</v>
      </c>
      <c r="C105" s="56">
        <v>0</v>
      </c>
      <c r="D105" s="56"/>
      <c r="E105" s="56">
        <v>0</v>
      </c>
      <c r="F105" s="56"/>
      <c r="G105" s="56">
        <v>0</v>
      </c>
      <c r="H105" s="56"/>
      <c r="I105" s="56">
        <f t="shared" si="2"/>
        <v>0</v>
      </c>
      <c r="J105" s="56"/>
      <c r="K105" s="59">
        <f>I105/درآمد!$M$12*100</f>
        <v>0</v>
      </c>
      <c r="L105" s="56"/>
      <c r="M105" s="56">
        <v>0</v>
      </c>
      <c r="N105" s="56"/>
      <c r="O105" s="56">
        <v>0</v>
      </c>
      <c r="P105" s="56"/>
      <c r="Q105" s="56">
        <f>VLOOKUP(A105,'درآمد اعمال اختیار'!A:L,12,0)</f>
        <v>12941727333</v>
      </c>
      <c r="R105" s="56"/>
      <c r="S105" s="56">
        <f t="shared" si="3"/>
        <v>12941727333</v>
      </c>
      <c r="U105" s="59">
        <f>S105/درآمد!$F$12*100</f>
        <v>1.1430672172096283</v>
      </c>
    </row>
    <row r="106" spans="1:21" ht="18.75">
      <c r="A106" s="14" t="s">
        <v>218</v>
      </c>
      <c r="C106" s="56">
        <v>0</v>
      </c>
      <c r="D106" s="56"/>
      <c r="E106" s="56">
        <v>0</v>
      </c>
      <c r="F106" s="56"/>
      <c r="G106" s="56">
        <v>0</v>
      </c>
      <c r="H106" s="56"/>
      <c r="I106" s="56">
        <f t="shared" si="2"/>
        <v>0</v>
      </c>
      <c r="J106" s="56"/>
      <c r="K106" s="59">
        <f>I106/درآمد!$M$12*100</f>
        <v>0</v>
      </c>
      <c r="L106" s="56"/>
      <c r="M106" s="56">
        <v>0</v>
      </c>
      <c r="N106" s="56"/>
      <c r="O106" s="56">
        <v>0</v>
      </c>
      <c r="P106" s="56"/>
      <c r="Q106" s="56">
        <f>VLOOKUP(A106,'درآمد اعمال اختیار'!A:L,12,0)</f>
        <v>8694525681</v>
      </c>
      <c r="R106" s="56"/>
      <c r="S106" s="56">
        <f t="shared" si="3"/>
        <v>8694525681</v>
      </c>
      <c r="U106" s="59">
        <f>S106/درآمد!$F$12*100</f>
        <v>0.76793669186619384</v>
      </c>
    </row>
    <row r="107" spans="1:21" ht="18.75">
      <c r="A107" s="14" t="s">
        <v>219</v>
      </c>
      <c r="C107" s="56">
        <v>0</v>
      </c>
      <c r="D107" s="56"/>
      <c r="E107" s="56">
        <v>0</v>
      </c>
      <c r="F107" s="56"/>
      <c r="G107" s="56">
        <v>0</v>
      </c>
      <c r="H107" s="56"/>
      <c r="I107" s="56">
        <f t="shared" si="2"/>
        <v>0</v>
      </c>
      <c r="J107" s="56"/>
      <c r="K107" s="59">
        <f>I107/درآمد!$M$12*100</f>
        <v>0</v>
      </c>
      <c r="L107" s="56"/>
      <c r="M107" s="56">
        <v>0</v>
      </c>
      <c r="N107" s="56"/>
      <c r="O107" s="56">
        <v>0</v>
      </c>
      <c r="P107" s="56"/>
      <c r="Q107" s="56">
        <f>VLOOKUP(A107,'درآمد اعمال اختیار'!A:L,12,0)</f>
        <v>5648574079</v>
      </c>
      <c r="R107" s="56"/>
      <c r="S107" s="56">
        <f t="shared" si="3"/>
        <v>5648574079</v>
      </c>
      <c r="U107" s="59">
        <f>S107/درآمد!$F$12*100</f>
        <v>0.49890557014140502</v>
      </c>
    </row>
    <row r="108" spans="1:21" ht="18.75">
      <c r="A108" s="14" t="s">
        <v>220</v>
      </c>
      <c r="C108" s="56">
        <v>0</v>
      </c>
      <c r="D108" s="56"/>
      <c r="E108" s="56">
        <v>0</v>
      </c>
      <c r="F108" s="56"/>
      <c r="G108" s="56">
        <v>0</v>
      </c>
      <c r="H108" s="56"/>
      <c r="I108" s="56">
        <f t="shared" si="2"/>
        <v>0</v>
      </c>
      <c r="J108" s="56"/>
      <c r="K108" s="59">
        <f>I108/درآمد!$M$12*100</f>
        <v>0</v>
      </c>
      <c r="L108" s="56"/>
      <c r="M108" s="56">
        <v>0</v>
      </c>
      <c r="N108" s="56"/>
      <c r="O108" s="56">
        <v>0</v>
      </c>
      <c r="P108" s="56"/>
      <c r="Q108" s="56">
        <f>VLOOKUP(A108,'درآمد اعمال اختیار'!A:L,12,0)</f>
        <v>-3291044166</v>
      </c>
      <c r="R108" s="56"/>
      <c r="S108" s="56">
        <f t="shared" si="3"/>
        <v>-3291044166</v>
      </c>
      <c r="U108" s="59">
        <f>S108/درآمد!$F$12*100</f>
        <v>-0.29067871697089498</v>
      </c>
    </row>
    <row r="109" spans="1:21" ht="18.75">
      <c r="A109" s="14" t="s">
        <v>222</v>
      </c>
      <c r="C109" s="56">
        <v>0</v>
      </c>
      <c r="D109" s="56"/>
      <c r="E109" s="56">
        <v>0</v>
      </c>
      <c r="F109" s="56"/>
      <c r="G109" s="56">
        <v>0</v>
      </c>
      <c r="H109" s="56"/>
      <c r="I109" s="56">
        <f t="shared" si="2"/>
        <v>0</v>
      </c>
      <c r="J109" s="56"/>
      <c r="K109" s="59">
        <f>I109/درآمد!$M$12*100</f>
        <v>0</v>
      </c>
      <c r="L109" s="56"/>
      <c r="M109" s="56">
        <v>0</v>
      </c>
      <c r="N109" s="56"/>
      <c r="O109" s="56">
        <v>0</v>
      </c>
      <c r="P109" s="56"/>
      <c r="Q109" s="56">
        <f>VLOOKUP(A109,'درآمد اعمال اختیار'!A:L,12,0)</f>
        <v>23675174711</v>
      </c>
      <c r="R109" s="56"/>
      <c r="S109" s="56">
        <f t="shared" si="3"/>
        <v>23675174711</v>
      </c>
      <c r="U109" s="59">
        <f>S109/درآمد!$F$12*100</f>
        <v>2.0910899586679261</v>
      </c>
    </row>
    <row r="110" spans="1:21" ht="18.75">
      <c r="A110" s="14" t="s">
        <v>223</v>
      </c>
      <c r="C110" s="56">
        <v>0</v>
      </c>
      <c r="D110" s="56"/>
      <c r="E110" s="56">
        <v>0</v>
      </c>
      <c r="F110" s="56"/>
      <c r="G110" s="56">
        <v>0</v>
      </c>
      <c r="H110" s="56"/>
      <c r="I110" s="56">
        <f t="shared" si="2"/>
        <v>0</v>
      </c>
      <c r="J110" s="56"/>
      <c r="K110" s="59">
        <f>I110/درآمد!$M$12*100</f>
        <v>0</v>
      </c>
      <c r="L110" s="56"/>
      <c r="M110" s="56">
        <v>0</v>
      </c>
      <c r="N110" s="56"/>
      <c r="O110" s="56">
        <v>0</v>
      </c>
      <c r="P110" s="56"/>
      <c r="Q110" s="56">
        <f>VLOOKUP(A110,'درآمد اعمال اختیار'!A:L,12,0)</f>
        <v>3569790982</v>
      </c>
      <c r="R110" s="56"/>
      <c r="S110" s="56">
        <f t="shared" si="3"/>
        <v>3569790982</v>
      </c>
      <c r="U110" s="59">
        <f>S110/درآمد!$F$12*100</f>
        <v>0.31529879581142978</v>
      </c>
    </row>
    <row r="111" spans="1:21" ht="18.75">
      <c r="A111" s="14" t="s">
        <v>224</v>
      </c>
      <c r="C111" s="56">
        <v>0</v>
      </c>
      <c r="D111" s="56"/>
      <c r="E111" s="56">
        <v>0</v>
      </c>
      <c r="F111" s="56"/>
      <c r="G111" s="56">
        <v>0</v>
      </c>
      <c r="H111" s="56"/>
      <c r="I111" s="56">
        <f t="shared" si="2"/>
        <v>0</v>
      </c>
      <c r="J111" s="56"/>
      <c r="K111" s="59">
        <f>I111/درآمد!$M$12*100</f>
        <v>0</v>
      </c>
      <c r="L111" s="56"/>
      <c r="M111" s="56">
        <v>0</v>
      </c>
      <c r="N111" s="56"/>
      <c r="O111" s="56">
        <v>0</v>
      </c>
      <c r="P111" s="56"/>
      <c r="Q111" s="56">
        <f>VLOOKUP(A111,'درآمد اعمال اختیار'!A:L,12,0)</f>
        <v>2722447714</v>
      </c>
      <c r="R111" s="56"/>
      <c r="S111" s="56">
        <f t="shared" si="3"/>
        <v>2722447714</v>
      </c>
      <c r="U111" s="59">
        <f>S111/درآمد!$F$12*100</f>
        <v>0.24045791202118616</v>
      </c>
    </row>
    <row r="112" spans="1:21" ht="18.75">
      <c r="A112" s="14" t="s">
        <v>225</v>
      </c>
      <c r="C112" s="56">
        <v>0</v>
      </c>
      <c r="D112" s="56"/>
      <c r="E112" s="56">
        <v>0</v>
      </c>
      <c r="F112" s="56"/>
      <c r="G112" s="56">
        <v>0</v>
      </c>
      <c r="H112" s="56"/>
      <c r="I112" s="56">
        <f t="shared" si="2"/>
        <v>0</v>
      </c>
      <c r="J112" s="56"/>
      <c r="K112" s="59">
        <f>I112/درآمد!$M$12*100</f>
        <v>0</v>
      </c>
      <c r="L112" s="56"/>
      <c r="M112" s="56">
        <v>0</v>
      </c>
      <c r="N112" s="56"/>
      <c r="O112" s="56">
        <v>0</v>
      </c>
      <c r="P112" s="56"/>
      <c r="Q112" s="56">
        <f>VLOOKUP(A112,'درآمد اعمال اختیار'!A:L,12,0)</f>
        <v>8187717453</v>
      </c>
      <c r="R112" s="56"/>
      <c r="S112" s="56">
        <f t="shared" si="3"/>
        <v>8187717453</v>
      </c>
      <c r="U112" s="59">
        <f>S112/درآمد!$F$12*100</f>
        <v>0.72317328000217551</v>
      </c>
    </row>
    <row r="113" spans="1:21" ht="18.75">
      <c r="A113" s="14" t="s">
        <v>242</v>
      </c>
      <c r="C113" s="56">
        <v>0</v>
      </c>
      <c r="D113" s="56"/>
      <c r="E113" s="56">
        <v>0</v>
      </c>
      <c r="F113" s="56"/>
      <c r="G113" s="56">
        <v>0</v>
      </c>
      <c r="H113" s="56"/>
      <c r="I113" s="56">
        <f t="shared" si="2"/>
        <v>0</v>
      </c>
      <c r="J113" s="56"/>
      <c r="K113" s="59">
        <f>I113/درآمد!$M$12*100</f>
        <v>0</v>
      </c>
      <c r="L113" s="56"/>
      <c r="M113" s="56">
        <v>0</v>
      </c>
      <c r="N113" s="56"/>
      <c r="O113" s="56">
        <v>0</v>
      </c>
      <c r="P113" s="56"/>
      <c r="Q113" s="56">
        <f>VLOOKUP(A113,'درآمد اعمال اختیار'!A:L,12,0)</f>
        <v>1879149631</v>
      </c>
      <c r="R113" s="56"/>
      <c r="S113" s="56">
        <f t="shared" si="3"/>
        <v>1879149631</v>
      </c>
      <c r="U113" s="59">
        <f>S113/درآمد!$F$12*100</f>
        <v>0.16597431580485533</v>
      </c>
    </row>
    <row r="114" spans="1:21" ht="18.75">
      <c r="A114" s="14" t="s">
        <v>226</v>
      </c>
      <c r="C114" s="56">
        <v>0</v>
      </c>
      <c r="D114" s="56"/>
      <c r="E114" s="56">
        <v>0</v>
      </c>
      <c r="F114" s="56"/>
      <c r="G114" s="56">
        <v>0</v>
      </c>
      <c r="H114" s="56"/>
      <c r="I114" s="56">
        <f t="shared" si="2"/>
        <v>0</v>
      </c>
      <c r="J114" s="56"/>
      <c r="K114" s="59">
        <f>I114/درآمد!$M$12*100</f>
        <v>0</v>
      </c>
      <c r="L114" s="56"/>
      <c r="M114" s="56">
        <v>0</v>
      </c>
      <c r="N114" s="56"/>
      <c r="O114" s="56">
        <v>0</v>
      </c>
      <c r="P114" s="56"/>
      <c r="Q114" s="56">
        <f>VLOOKUP(A114,'درآمد اعمال اختیار'!A:L,12,0)</f>
        <v>2299163039</v>
      </c>
      <c r="R114" s="56"/>
      <c r="S114" s="56">
        <f t="shared" si="3"/>
        <v>2299163039</v>
      </c>
      <c r="U114" s="59">
        <f>S114/درآمد!$F$12*100</f>
        <v>0.20307164795533883</v>
      </c>
    </row>
    <row r="115" spans="1:21" ht="18.75">
      <c r="A115" s="14" t="s">
        <v>227</v>
      </c>
      <c r="C115" s="56">
        <v>0</v>
      </c>
      <c r="D115" s="56"/>
      <c r="E115" s="56">
        <v>0</v>
      </c>
      <c r="F115" s="56"/>
      <c r="G115" s="56">
        <v>0</v>
      </c>
      <c r="H115" s="56"/>
      <c r="I115" s="56">
        <f t="shared" si="2"/>
        <v>0</v>
      </c>
      <c r="J115" s="56"/>
      <c r="K115" s="59">
        <f>I115/درآمد!$M$12*100</f>
        <v>0</v>
      </c>
      <c r="L115" s="56"/>
      <c r="M115" s="56">
        <v>0</v>
      </c>
      <c r="N115" s="56"/>
      <c r="O115" s="56">
        <v>0</v>
      </c>
      <c r="P115" s="56"/>
      <c r="Q115" s="56">
        <f>VLOOKUP(A115,'درآمد اعمال اختیار'!A:L,12,0)</f>
        <v>32287450</v>
      </c>
      <c r="R115" s="56"/>
      <c r="S115" s="56">
        <f t="shared" si="3"/>
        <v>32287450</v>
      </c>
      <c r="U115" s="59">
        <f>S115/درآمد!$F$12*100</f>
        <v>2.8517619536139408E-3</v>
      </c>
    </row>
    <row r="116" spans="1:21" ht="18.75">
      <c r="A116" s="14" t="s">
        <v>228</v>
      </c>
      <c r="C116" s="56">
        <v>0</v>
      </c>
      <c r="D116" s="56"/>
      <c r="E116" s="56">
        <v>0</v>
      </c>
      <c r="F116" s="56"/>
      <c r="G116" s="56">
        <v>0</v>
      </c>
      <c r="H116" s="56"/>
      <c r="I116" s="56">
        <f t="shared" si="2"/>
        <v>0</v>
      </c>
      <c r="J116" s="56"/>
      <c r="K116" s="59">
        <f>I116/درآمد!$M$12*100</f>
        <v>0</v>
      </c>
      <c r="L116" s="56"/>
      <c r="M116" s="56">
        <v>0</v>
      </c>
      <c r="N116" s="56"/>
      <c r="O116" s="56">
        <v>0</v>
      </c>
      <c r="P116" s="56"/>
      <c r="Q116" s="56">
        <f>VLOOKUP(A116,'درآمد اعمال اختیار'!A:L,12,0)</f>
        <v>-28932474</v>
      </c>
      <c r="R116" s="56"/>
      <c r="S116" s="56">
        <f t="shared" si="3"/>
        <v>-28932474</v>
      </c>
      <c r="U116" s="59">
        <f>S116/درآمد!$F$12*100</f>
        <v>-2.5554365110011649E-3</v>
      </c>
    </row>
    <row r="117" spans="1:21" ht="18.75">
      <c r="A117" s="14" t="s">
        <v>243</v>
      </c>
      <c r="C117" s="56">
        <v>0</v>
      </c>
      <c r="D117" s="56"/>
      <c r="E117" s="56">
        <v>0</v>
      </c>
      <c r="F117" s="56"/>
      <c r="G117" s="56">
        <v>0</v>
      </c>
      <c r="H117" s="56"/>
      <c r="I117" s="56">
        <f t="shared" si="2"/>
        <v>0</v>
      </c>
      <c r="J117" s="56"/>
      <c r="K117" s="59">
        <f>I117/درآمد!$M$12*100</f>
        <v>0</v>
      </c>
      <c r="L117" s="56"/>
      <c r="M117" s="56">
        <v>0</v>
      </c>
      <c r="N117" s="56"/>
      <c r="O117" s="56">
        <v>0</v>
      </c>
      <c r="P117" s="56"/>
      <c r="Q117" s="56">
        <f>VLOOKUP(A117,'درآمد اعمال اختیار'!A:L,12,0)</f>
        <v>-404194323</v>
      </c>
      <c r="R117" s="56"/>
      <c r="S117" s="56">
        <f t="shared" si="3"/>
        <v>-404194323</v>
      </c>
      <c r="U117" s="59">
        <f>S117/درآمد!$F$12*100</f>
        <v>-3.5700124729520118E-2</v>
      </c>
    </row>
    <row r="118" spans="1:21" ht="18.75">
      <c r="A118" s="14" t="s">
        <v>274</v>
      </c>
      <c r="C118" s="56">
        <v>0</v>
      </c>
      <c r="D118" s="56"/>
      <c r="E118" s="56">
        <f>'درآمد ناشی از تغییر قیمت اوراق'!I38</f>
        <v>-4876096251</v>
      </c>
      <c r="F118" s="56"/>
      <c r="G118" s="56">
        <v>0</v>
      </c>
      <c r="H118" s="56"/>
      <c r="I118" s="56">
        <f t="shared" si="2"/>
        <v>-4876096251</v>
      </c>
      <c r="J118" s="56"/>
      <c r="K118" s="59">
        <f>I118/درآمد!$M$12*100</f>
        <v>-0.96208228422176001</v>
      </c>
      <c r="L118" s="56"/>
      <c r="M118" s="56">
        <v>0</v>
      </c>
      <c r="N118" s="56"/>
      <c r="O118" s="56">
        <f>VLOOKUP(A118,'درآمد ناشی از تغییر قیمت اوراق'!A:Q,17,0)</f>
        <v>-4876096251</v>
      </c>
      <c r="P118" s="56"/>
      <c r="Q118" s="56">
        <v>0</v>
      </c>
      <c r="R118" s="56"/>
      <c r="S118" s="56">
        <f t="shared" si="3"/>
        <v>-4876096251</v>
      </c>
      <c r="U118" s="59">
        <f>S118/درآمد!$F$12*100</f>
        <v>-0.43067711357698962</v>
      </c>
    </row>
    <row r="119" spans="1:21" ht="19.5" thickBot="1">
      <c r="C119" s="58">
        <f>SUM(C9:C118)</f>
        <v>30246376500</v>
      </c>
      <c r="D119" s="39"/>
      <c r="E119" s="58">
        <f>SUM(E9:E118)</f>
        <v>365349312453</v>
      </c>
      <c r="F119" s="39"/>
      <c r="G119" s="58">
        <f>SUM(G9:G118)</f>
        <v>110421724077</v>
      </c>
      <c r="H119" s="39"/>
      <c r="I119" s="58">
        <f>SUM(I9:I118)</f>
        <v>506017413030</v>
      </c>
      <c r="J119" s="39"/>
      <c r="K119" s="60">
        <f>SUM(K9:K118)</f>
        <v>99.840192548300891</v>
      </c>
      <c r="L119" s="39"/>
      <c r="M119" s="58">
        <f>SUM(M9:M118)</f>
        <v>237756018700</v>
      </c>
      <c r="N119" s="39"/>
      <c r="O119" s="58">
        <f>SUM(O9:O118)</f>
        <v>926929741778</v>
      </c>
      <c r="P119" s="39"/>
      <c r="Q119" s="58">
        <f>SUM(Q9:Q118)</f>
        <v>-39775633410</v>
      </c>
      <c r="R119" s="39"/>
      <c r="S119" s="58">
        <f>SUM(S9:S118)</f>
        <v>1124910127068</v>
      </c>
      <c r="T119" s="39"/>
      <c r="U119" s="60">
        <f>SUM(U9:U118)</f>
        <v>99.356743923956387</v>
      </c>
    </row>
    <row r="120" spans="1:21" ht="13.5" thickTop="1">
      <c r="C120" s="45"/>
      <c r="E120" s="45"/>
      <c r="G120" s="76"/>
      <c r="I120" s="53"/>
      <c r="M120" s="45"/>
      <c r="O120" s="45"/>
      <c r="Q120" s="45"/>
      <c r="S120" s="53"/>
    </row>
    <row r="121" spans="1:21">
      <c r="C121" s="45"/>
      <c r="D121" s="45"/>
      <c r="E121" s="45"/>
      <c r="F121" s="45"/>
      <c r="G121" s="45"/>
      <c r="M121" s="45"/>
      <c r="O121" s="45"/>
      <c r="Q121" s="45"/>
    </row>
    <row r="122" spans="1:21">
      <c r="M122" s="53"/>
      <c r="O122" s="53"/>
      <c r="Q122" s="45"/>
    </row>
    <row r="123" spans="1:21">
      <c r="Q123" s="45"/>
    </row>
    <row r="124" spans="1:21">
      <c r="Q124" s="45"/>
    </row>
    <row r="125" spans="1:21">
      <c r="Q125" s="53"/>
    </row>
    <row r="127" spans="1:21">
      <c r="Q127" s="45"/>
    </row>
  </sheetData>
  <mergeCells count="8">
    <mergeCell ref="I7:K7"/>
    <mergeCell ref="S7:U7"/>
    <mergeCell ref="A1:U1"/>
    <mergeCell ref="A2:U2"/>
    <mergeCell ref="A3:U3"/>
    <mergeCell ref="A5:U5"/>
    <mergeCell ref="C6:K6"/>
    <mergeCell ref="M6:U6"/>
  </mergeCells>
  <conditionalFormatting sqref="A9:A118">
    <cfRule type="duplicateValues" dxfId="8" priority="1"/>
    <cfRule type="duplicateValues" dxfId="7" priority="124"/>
    <cfRule type="duplicateValues" dxfId="6" priority="125"/>
  </conditionalFormatting>
  <pageMargins left="0.39" right="0.39" top="0.39" bottom="0.39" header="0" footer="0"/>
  <pageSetup scale="6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A1:Q15"/>
  <sheetViews>
    <sheetView rightToLeft="1" view="pageBreakPreview" zoomScale="154" zoomScaleNormal="100" zoomScaleSheetLayoutView="154" workbookViewId="0">
      <selection activeCell="I20" sqref="I20"/>
    </sheetView>
  </sheetViews>
  <sheetFormatPr defaultRowHeight="12.75"/>
  <cols>
    <col min="1" max="1" width="29.7109375" bestFit="1" customWidth="1"/>
    <col min="2" max="2" width="1.28515625" customWidth="1"/>
    <col min="3" max="3" width="15.5703125" bestFit="1" customWidth="1"/>
    <col min="4" max="4" width="1.28515625" customWidth="1"/>
    <col min="5" max="5" width="15.7109375" bestFit="1" customWidth="1"/>
    <col min="6" max="6" width="1.28515625" customWidth="1"/>
    <col min="7" max="7" width="12.5703125" bestFit="1" customWidth="1"/>
    <col min="8" max="8" width="1.28515625" customWidth="1"/>
    <col min="9" max="9" width="15.85546875" bestFit="1" customWidth="1"/>
    <col min="10" max="10" width="1.28515625" customWidth="1"/>
    <col min="11" max="11" width="15.5703125" bestFit="1" customWidth="1"/>
    <col min="12" max="12" width="1.28515625" customWidth="1"/>
    <col min="13" max="13" width="15.7109375" bestFit="1" customWidth="1"/>
    <col min="14" max="14" width="1.28515625" customWidth="1"/>
    <col min="15" max="15" width="16.140625" bestFit="1" customWidth="1"/>
    <col min="16" max="16" width="1.28515625" customWidth="1"/>
    <col min="17" max="17" width="15.85546875" bestFit="1" customWidth="1"/>
    <col min="18" max="18" width="0.28515625" customWidth="1"/>
  </cols>
  <sheetData>
    <row r="1" spans="1:17" ht="29.1" customHeight="1">
      <c r="A1" s="95" t="str">
        <f>سهام!A1</f>
        <v>صندوق سرمایه گذاری افق دماوند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</row>
    <row r="2" spans="1:17" ht="21.75" customHeight="1">
      <c r="A2" s="95" t="s">
        <v>77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</row>
    <row r="3" spans="1:17" ht="21.75" customHeight="1">
      <c r="A3" s="95" t="str">
        <f>سهام!A3</f>
        <v>برای ماه منتهی به 1404/10/30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</row>
    <row r="4" spans="1:17" ht="14.45" customHeight="1"/>
    <row r="5" spans="1:17" ht="14.45" customHeight="1">
      <c r="A5" s="96" t="s">
        <v>245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</row>
    <row r="6" spans="1:17" ht="14.45" customHeight="1">
      <c r="C6" s="97" t="s">
        <v>92</v>
      </c>
      <c r="D6" s="97"/>
      <c r="E6" s="97"/>
      <c r="F6" s="97"/>
      <c r="G6" s="97"/>
      <c r="H6" s="97"/>
      <c r="I6" s="97"/>
      <c r="K6" s="97" t="s">
        <v>93</v>
      </c>
      <c r="L6" s="97"/>
      <c r="M6" s="97"/>
      <c r="N6" s="97"/>
      <c r="O6" s="97"/>
      <c r="P6" s="97"/>
      <c r="Q6" s="97"/>
    </row>
    <row r="7" spans="1:17" ht="14.45" customHeight="1">
      <c r="C7" s="3"/>
      <c r="D7" s="3"/>
      <c r="E7" s="3"/>
      <c r="F7" s="3"/>
      <c r="G7" s="3"/>
      <c r="H7" s="3"/>
      <c r="I7" s="3"/>
      <c r="K7" s="3"/>
      <c r="L7" s="3"/>
      <c r="M7" s="3"/>
      <c r="N7" s="3"/>
      <c r="O7" s="3"/>
      <c r="P7" s="3"/>
      <c r="Q7" s="3"/>
    </row>
    <row r="8" spans="1:17" ht="14.45" customHeight="1">
      <c r="A8" s="23" t="s">
        <v>130</v>
      </c>
      <c r="C8" s="2" t="s">
        <v>131</v>
      </c>
      <c r="E8" s="2" t="s">
        <v>96</v>
      </c>
      <c r="G8" s="2" t="s">
        <v>97</v>
      </c>
      <c r="I8" s="2" t="s">
        <v>48</v>
      </c>
      <c r="K8" s="2" t="s">
        <v>131</v>
      </c>
      <c r="M8" s="2" t="s">
        <v>96</v>
      </c>
      <c r="O8" s="2" t="s">
        <v>97</v>
      </c>
      <c r="Q8" s="2" t="s">
        <v>48</v>
      </c>
    </row>
    <row r="9" spans="1:17" ht="21.75" customHeight="1">
      <c r="A9" s="15" t="s">
        <v>72</v>
      </c>
      <c r="C9" s="56">
        <v>0</v>
      </c>
      <c r="D9" s="51"/>
      <c r="E9" s="56">
        <v>0</v>
      </c>
      <c r="F9" s="51"/>
      <c r="G9" s="55">
        <v>0</v>
      </c>
      <c r="H9" s="51"/>
      <c r="I9" s="55">
        <f>C9+E9+G9</f>
        <v>0</v>
      </c>
      <c r="J9" s="51"/>
      <c r="K9" s="55">
        <v>0</v>
      </c>
      <c r="L9" s="51"/>
      <c r="M9" s="55">
        <v>0</v>
      </c>
      <c r="N9" s="51"/>
      <c r="O9" s="55">
        <f>'درآمد ناشی از فروش'!Q72</f>
        <v>10556175</v>
      </c>
      <c r="P9" s="51"/>
      <c r="Q9" s="56">
        <f>K9+M9+O9</f>
        <v>10556175</v>
      </c>
    </row>
    <row r="10" spans="1:17" ht="21.75" customHeight="1">
      <c r="A10" s="14" t="s">
        <v>132</v>
      </c>
      <c r="C10" s="56">
        <f>VLOOKUP(A10,'سود اوراق بهادار'!A:Q,7,0)</f>
        <v>0</v>
      </c>
      <c r="D10" s="51"/>
      <c r="E10" s="56">
        <v>0</v>
      </c>
      <c r="F10" s="51"/>
      <c r="G10" s="56">
        <v>0</v>
      </c>
      <c r="H10" s="51"/>
      <c r="I10" s="56">
        <f>C10+E10+G10</f>
        <v>0</v>
      </c>
      <c r="J10" s="51"/>
      <c r="K10" s="56">
        <f>VLOOKUP(A10,'سود اوراق بهادار'!A:Q,13,0)</f>
        <v>379216840</v>
      </c>
      <c r="L10" s="51"/>
      <c r="M10" s="56">
        <v>0</v>
      </c>
      <c r="N10" s="51"/>
      <c r="O10" s="56">
        <v>0</v>
      </c>
      <c r="P10" s="51"/>
      <c r="Q10" s="56">
        <f>K10+M10+O10</f>
        <v>379216840</v>
      </c>
    </row>
    <row r="11" spans="1:17" ht="21.75" customHeight="1">
      <c r="A11" s="14" t="s">
        <v>68</v>
      </c>
      <c r="C11" s="56">
        <f>VLOOKUP(A11,'سود اوراق بهادار'!A:Q,7,0)</f>
        <v>343457992</v>
      </c>
      <c r="D11" s="51"/>
      <c r="E11" s="56">
        <f>'درآمد ناشی از تغییر قیمت اوراق'!I39</f>
        <v>54307989</v>
      </c>
      <c r="F11" s="51"/>
      <c r="G11" s="57">
        <f>'درآمد ناشی از فروش'!I71</f>
        <v>-26196114</v>
      </c>
      <c r="H11" s="51"/>
      <c r="I11" s="56">
        <f>C11+E11+G11</f>
        <v>371569867</v>
      </c>
      <c r="J11" s="51"/>
      <c r="K11" s="56">
        <f>VLOOKUP(A11,'سود اوراق بهادار'!A:Q,13,0)</f>
        <v>3828091040</v>
      </c>
      <c r="L11" s="51"/>
      <c r="M11" s="57">
        <v>0</v>
      </c>
      <c r="N11" s="51"/>
      <c r="O11" s="57">
        <v>-102555000</v>
      </c>
      <c r="P11" s="51"/>
      <c r="Q11" s="56">
        <f>K11+M11+O11</f>
        <v>3725536040</v>
      </c>
    </row>
    <row r="12" spans="1:17" ht="21.75" customHeight="1" thickBot="1">
      <c r="A12" s="24"/>
      <c r="C12" s="58">
        <f>SUM(C9:C11)</f>
        <v>343457992</v>
      </c>
      <c r="D12" s="51"/>
      <c r="E12" s="50">
        <f>SUM(E9:E11)</f>
        <v>54307989</v>
      </c>
      <c r="F12" s="51"/>
      <c r="G12" s="50">
        <f>SUM(G9:G11)</f>
        <v>-26196114</v>
      </c>
      <c r="H12" s="51"/>
      <c r="I12" s="50">
        <f>SUM(I9:I11)</f>
        <v>371569867</v>
      </c>
      <c r="J12" s="51"/>
      <c r="K12" s="50">
        <f>SUM(K9:K11)</f>
        <v>4207307880</v>
      </c>
      <c r="L12" s="51"/>
      <c r="M12" s="50">
        <f>SUM(M9:M11)</f>
        <v>0</v>
      </c>
      <c r="N12" s="51"/>
      <c r="O12" s="50">
        <f>SUM(O9:O11)</f>
        <v>-91998825</v>
      </c>
      <c r="P12" s="51"/>
      <c r="Q12" s="50">
        <f>SUM(Q9:Q11)</f>
        <v>4115309055</v>
      </c>
    </row>
    <row r="13" spans="1:17" ht="13.5" thickTop="1">
      <c r="C13" s="45"/>
      <c r="E13" s="45"/>
      <c r="G13" s="45"/>
      <c r="I13" s="53"/>
      <c r="K13" s="45"/>
      <c r="M13" s="45"/>
      <c r="O13" s="45"/>
      <c r="Q13" s="53"/>
    </row>
    <row r="14" spans="1:17">
      <c r="C14" s="45"/>
      <c r="E14" s="45"/>
      <c r="G14" s="45"/>
      <c r="K14" s="45"/>
      <c r="M14" s="45"/>
      <c r="O14" s="45"/>
    </row>
    <row r="15" spans="1:17">
      <c r="K15" s="53"/>
      <c r="M15" s="53"/>
      <c r="O15" s="53"/>
    </row>
  </sheetData>
  <mergeCells count="6">
    <mergeCell ref="A5:Q5"/>
    <mergeCell ref="C6:I6"/>
    <mergeCell ref="K6:Q6"/>
    <mergeCell ref="A1:Q1"/>
    <mergeCell ref="A2:Q2"/>
    <mergeCell ref="A3:Q3"/>
  </mergeCells>
  <pageMargins left="0.39" right="0.39" top="0.39" bottom="0.39" header="0" footer="0"/>
  <pageSetup scale="81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  <pageSetUpPr fitToPage="1"/>
  </sheetPr>
  <dimension ref="A1:I13"/>
  <sheetViews>
    <sheetView rightToLeft="1" view="pageBreakPreview" zoomScaleNormal="100" zoomScaleSheetLayoutView="100" workbookViewId="0">
      <selection activeCell="H18" sqref="H18"/>
    </sheetView>
  </sheetViews>
  <sheetFormatPr defaultRowHeight="12.75"/>
  <cols>
    <col min="1" max="1" width="24.140625" bestFit="1" customWidth="1"/>
    <col min="2" max="2" width="1.28515625" customWidth="1"/>
    <col min="3" max="3" width="19.42578125" customWidth="1"/>
    <col min="4" max="4" width="1.28515625" customWidth="1"/>
    <col min="5" max="5" width="20.7109375" customWidth="1"/>
    <col min="6" max="6" width="1.28515625" customWidth="1"/>
    <col min="7" max="7" width="19.42578125" customWidth="1"/>
    <col min="8" max="8" width="1.28515625" customWidth="1"/>
    <col min="9" max="9" width="19.42578125" customWidth="1"/>
    <col min="10" max="10" width="0.28515625" customWidth="1"/>
  </cols>
  <sheetData>
    <row r="1" spans="1:9" ht="29.1" customHeight="1">
      <c r="A1" s="95" t="str">
        <f>سهام!A1</f>
        <v>صندوق سرمایه گذاری افق دماوند</v>
      </c>
      <c r="B1" s="95"/>
      <c r="C1" s="95"/>
      <c r="D1" s="95"/>
      <c r="E1" s="95"/>
      <c r="F1" s="95"/>
      <c r="G1" s="95"/>
      <c r="H1" s="95"/>
      <c r="I1" s="95"/>
    </row>
    <row r="2" spans="1:9" ht="21.75" customHeight="1">
      <c r="A2" s="95" t="s">
        <v>77</v>
      </c>
      <c r="B2" s="95"/>
      <c r="C2" s="95"/>
      <c r="D2" s="95"/>
      <c r="E2" s="95"/>
      <c r="F2" s="95"/>
      <c r="G2" s="95"/>
      <c r="H2" s="95"/>
      <c r="I2" s="95"/>
    </row>
    <row r="3" spans="1:9" ht="21.75" customHeight="1">
      <c r="A3" s="95" t="str">
        <f>سهام!A3</f>
        <v>برای ماه منتهی به 1404/10/30</v>
      </c>
      <c r="B3" s="95"/>
      <c r="C3" s="95"/>
      <c r="D3" s="95"/>
      <c r="E3" s="95"/>
      <c r="F3" s="95"/>
      <c r="G3" s="95"/>
      <c r="H3" s="95"/>
      <c r="I3" s="95"/>
    </row>
    <row r="4" spans="1:9" ht="14.45" customHeight="1"/>
    <row r="5" spans="1:9" ht="14.45" customHeight="1">
      <c r="A5" s="96" t="s">
        <v>246</v>
      </c>
      <c r="B5" s="96"/>
      <c r="C5" s="96"/>
      <c r="D5" s="96"/>
      <c r="E5" s="96"/>
      <c r="F5" s="96"/>
      <c r="G5" s="96"/>
      <c r="H5" s="96"/>
      <c r="I5" s="96"/>
    </row>
    <row r="6" spans="1:9" ht="14.45" customHeight="1">
      <c r="C6" s="97" t="s">
        <v>92</v>
      </c>
      <c r="D6" s="97"/>
      <c r="E6" s="97"/>
      <c r="G6" s="97" t="s">
        <v>93</v>
      </c>
      <c r="H6" s="97"/>
      <c r="I6" s="97"/>
    </row>
    <row r="7" spans="1:9" ht="36.4" customHeight="1">
      <c r="A7" s="23" t="s">
        <v>139</v>
      </c>
      <c r="C7" s="8" t="s">
        <v>140</v>
      </c>
      <c r="D7" s="3"/>
      <c r="E7" s="8" t="s">
        <v>141</v>
      </c>
      <c r="G7" s="8" t="s">
        <v>140</v>
      </c>
      <c r="H7" s="3"/>
      <c r="I7" s="8" t="s">
        <v>141</v>
      </c>
    </row>
    <row r="8" spans="1:9" ht="21.75" customHeight="1">
      <c r="A8" s="15" t="s">
        <v>198</v>
      </c>
      <c r="C8" s="38">
        <f>'سود سپرده بانکی'!C8</f>
        <v>123678</v>
      </c>
      <c r="D8" s="35"/>
      <c r="E8" s="40">
        <f>C8/$C$11*100</f>
        <v>47.496850901717416</v>
      </c>
      <c r="F8" s="35"/>
      <c r="G8" s="38">
        <f>'سود سپرده بانکی'!I8</f>
        <v>545984243</v>
      </c>
      <c r="H8" s="35"/>
      <c r="I8" s="40">
        <f>G8/$G$11*100</f>
        <v>59.136815516460452</v>
      </c>
    </row>
    <row r="9" spans="1:9" ht="21.75" customHeight="1">
      <c r="A9" s="14" t="s">
        <v>196</v>
      </c>
      <c r="C9" s="41">
        <f>'سود سپرده بانکی'!C9</f>
        <v>134625</v>
      </c>
      <c r="D9" s="35"/>
      <c r="E9" s="40">
        <f>C9/$C$11*100</f>
        <v>51.700897108974161</v>
      </c>
      <c r="F9" s="35"/>
      <c r="G9" s="41">
        <f>'سود سپرده بانکی'!I9</f>
        <v>376261337</v>
      </c>
      <c r="H9" s="35"/>
      <c r="I9" s="40">
        <f t="shared" ref="I9:I10" si="0">G9/$G$11*100</f>
        <v>40.753735217493727</v>
      </c>
    </row>
    <row r="10" spans="1:9" ht="21.75" customHeight="1">
      <c r="A10" s="14" t="s">
        <v>197</v>
      </c>
      <c r="C10" s="42">
        <f>'سود سپرده بانکی'!C10</f>
        <v>2089</v>
      </c>
      <c r="D10" s="35"/>
      <c r="E10" s="40">
        <f>C10/$C$11*100</f>
        <v>0.80225198930842734</v>
      </c>
      <c r="F10" s="35"/>
      <c r="G10" s="42">
        <f>'سود سپرده بانکی'!I10</f>
        <v>1010497</v>
      </c>
      <c r="H10" s="35"/>
      <c r="I10" s="40">
        <f t="shared" si="0"/>
        <v>0.1094492660458275</v>
      </c>
    </row>
    <row r="11" spans="1:9" ht="21.75" customHeight="1" thickBot="1">
      <c r="A11" s="24"/>
      <c r="C11" s="43">
        <f>SUM(C8:C10)</f>
        <v>260392</v>
      </c>
      <c r="D11" s="35"/>
      <c r="E11" s="43">
        <f>SUM(E8:E10)</f>
        <v>100.00000000000001</v>
      </c>
      <c r="F11" s="35"/>
      <c r="G11" s="43">
        <f>SUM(G8:G10)</f>
        <v>923256077</v>
      </c>
      <c r="H11" s="35"/>
      <c r="I11" s="43">
        <f>SUM(I8:I10)</f>
        <v>100</v>
      </c>
    </row>
    <row r="12" spans="1:9" ht="13.5" thickTop="1">
      <c r="C12" s="45"/>
      <c r="G12" s="45"/>
    </row>
    <row r="13" spans="1:9">
      <c r="C13" s="45"/>
      <c r="G13" s="45"/>
    </row>
  </sheetData>
  <mergeCells count="6">
    <mergeCell ref="A5:I5"/>
    <mergeCell ref="C6:E6"/>
    <mergeCell ref="G6:I6"/>
    <mergeCell ref="A1:I1"/>
    <mergeCell ref="A2:I2"/>
    <mergeCell ref="A3:I3"/>
  </mergeCells>
  <pageMargins left="0.39" right="0.39" top="0.39" bottom="0.39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16</vt:i4>
      </vt:variant>
    </vt:vector>
  </HeadingPairs>
  <TitlesOfParts>
    <vt:vector size="33" baseType="lpstr">
      <vt:lpstr>صورت وضعیت پرتفوی</vt:lpstr>
      <vt:lpstr>سهام</vt:lpstr>
      <vt:lpstr>اوراق</vt:lpstr>
      <vt:lpstr>اوراق مشتقه</vt:lpstr>
      <vt:lpstr>سپرده</vt:lpstr>
      <vt:lpstr>درآمد</vt:lpstr>
      <vt:lpstr>درآمد سرمایه گذاری در سهام</vt:lpstr>
      <vt:lpstr>درآمد سرمایه گذاری در اوراق</vt:lpstr>
      <vt:lpstr>درآمد سپرده بانکی</vt:lpstr>
      <vt:lpstr>سایر درآمدها</vt:lpstr>
      <vt:lpstr>درآمد سود سهام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سود ترجیحی</vt:lpstr>
      <vt:lpstr>اوراق!Print_Area</vt:lpstr>
      <vt:lpstr>'اوراق مشتقه'!Print_Area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اوراق بهادار'!Print_Area</vt:lpstr>
      <vt:lpstr>'سود ترجیحی'!Print_Area</vt:lpstr>
      <vt:lpstr>'سود سپرده بانکی'!Print_Area</vt:lpstr>
      <vt:lpstr>سهام!Print_Area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Mohammad Nikomaram</dc:creator>
  <dc:description/>
  <cp:lastModifiedBy>Mohammad Nikomaram</cp:lastModifiedBy>
  <cp:lastPrinted>2025-12-27T14:20:13Z</cp:lastPrinted>
  <dcterms:created xsi:type="dcterms:W3CDTF">2025-11-23T06:16:00Z</dcterms:created>
  <dcterms:modified xsi:type="dcterms:W3CDTF">2026-01-28T09:02:54Z</dcterms:modified>
</cp:coreProperties>
</file>