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بخشی افق دماوند\عملیات حسابداری\گزارش پرتفوی\1405\02\"/>
    </mc:Choice>
  </mc:AlternateContent>
  <xr:revisionPtr revIDLastSave="0" documentId="13_ncr:1_{0572B696-9521-4F7F-A076-85841EF743C7}" xr6:coauthVersionLast="47" xr6:coauthVersionMax="47" xr10:uidLastSave="{00000000-0000-0000-0000-000000000000}"/>
  <bookViews>
    <workbookView xWindow="-120" yWindow="-120" windowWidth="29040" windowHeight="15840" tabRatio="951" xr2:uid="{00000000-000D-0000-FFFF-FFFF00000000}"/>
  </bookViews>
  <sheets>
    <sheet name="صورت وضعیت پرتفوی" sheetId="22" r:id="rId1"/>
    <sheet name="سهام" sheetId="2" r:id="rId2"/>
    <sheet name="اوراق مشتقه" sheetId="27" r:id="rId3"/>
    <sheet name="اوراق" sheetId="5" r:id="rId4"/>
    <sheet name="تعدیل قیمت" sheetId="28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4" r:id="rId18"/>
  </sheets>
  <definedNames>
    <definedName name="_xlnm._FilterDatabase" localSheetId="11" hidden="1">'درآمد سود سهام'!$A$7:$S$7</definedName>
    <definedName name="_xlnm._FilterDatabase" localSheetId="1" hidden="1">سهام!$A$8:$AA$8</definedName>
    <definedName name="_xlnm.Print_Area" localSheetId="3">اوراق!$A$1:$AL$10</definedName>
    <definedName name="_xlnm.Print_Area" localSheetId="2">'اوراق مشتقه'!$A$1:$AV$9</definedName>
    <definedName name="_xlnm.Print_Area" localSheetId="4">'تعدیل قیمت'!$A$1:$N$41</definedName>
    <definedName name="_xlnm.Print_Area" localSheetId="6">درآمد!$A$1:$K$12</definedName>
    <definedName name="_xlnm.Print_Area" localSheetId="15">'درآمد اعمال اختیار'!$A$1:$M$10</definedName>
    <definedName name="_xlnm.Print_Area" localSheetId="9">'درآمد سپرده بانکی'!$A$1:$J$11</definedName>
    <definedName name="_xlnm.Print_Area" localSheetId="8">'درآمد سرمایه گذاری در اوراق'!$A$1:$R$10</definedName>
    <definedName name="_xlnm.Print_Area" localSheetId="7">'درآمد سرمایه گذاری در سهام'!$A$1:$V$42</definedName>
    <definedName name="_xlnm.Print_Area" localSheetId="11">'درآمد سود سهام'!$A$1:$T$11</definedName>
    <definedName name="_xlnm.Print_Area" localSheetId="16">'درآمد ناشی از تغییر قیمت اوراق'!$A$1:$Q$41</definedName>
    <definedName name="_xlnm.Print_Area" localSheetId="14">'درآمد ناشی از فروش'!$A$1:$Q$11</definedName>
    <definedName name="_xlnm.Print_Area" localSheetId="10">'سایر درآمدها'!$A$1:$F$10</definedName>
    <definedName name="_xlnm.Print_Area" localSheetId="5">سپرده!$A$1:$L$13</definedName>
    <definedName name="_xlnm.Print_Area" localSheetId="12">'سود اوراق بهادار'!$A$1:$R$9</definedName>
    <definedName name="_xlnm.Print_Area" localSheetId="17">'سود ترجیحی'!$A$1:$H$17</definedName>
    <definedName name="_xlnm.Print_Area" localSheetId="13">'سود سپرده بانکی'!$A$1:$N$12</definedName>
    <definedName name="_xlnm.Print_Area" localSheetId="1">سهام!$A$1:$Y$41</definedName>
  </definedNames>
  <calcPr calcId="191029"/>
</workbook>
</file>

<file path=xl/calcChain.xml><?xml version="1.0" encoding="utf-8"?>
<calcChain xmlns="http://schemas.openxmlformats.org/spreadsheetml/2006/main">
  <c r="C10" i="14" l="1"/>
  <c r="F11" i="8"/>
  <c r="F10" i="8"/>
  <c r="F9" i="8"/>
  <c r="C12" i="7"/>
  <c r="E12" i="7"/>
  <c r="G12" i="7"/>
  <c r="K41" i="28"/>
  <c r="J9" i="8" l="1"/>
  <c r="J10" i="8"/>
  <c r="J11" i="8"/>
  <c r="K9" i="1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9" i="9"/>
  <c r="Q8" i="17"/>
  <c r="K8" i="17"/>
  <c r="Q41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9" i="9"/>
  <c r="S9" i="15"/>
  <c r="S10" i="15"/>
  <c r="S8" i="15"/>
  <c r="M9" i="15"/>
  <c r="G41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9" i="9"/>
  <c r="C10" i="9"/>
  <c r="I10" i="9" s="1"/>
  <c r="K10" i="9" s="1"/>
  <c r="C11" i="9"/>
  <c r="C12" i="9"/>
  <c r="C13" i="9"/>
  <c r="I13" i="9" s="1"/>
  <c r="K13" i="9" s="1"/>
  <c r="C14" i="9"/>
  <c r="I14" i="9" s="1"/>
  <c r="K14" i="9" s="1"/>
  <c r="C15" i="9"/>
  <c r="C16" i="9"/>
  <c r="C17" i="9"/>
  <c r="C18" i="9"/>
  <c r="C19" i="9"/>
  <c r="C20" i="9"/>
  <c r="C21" i="9"/>
  <c r="I21" i="9" s="1"/>
  <c r="K21" i="9" s="1"/>
  <c r="C22" i="9"/>
  <c r="I22" i="9" s="1"/>
  <c r="K22" i="9" s="1"/>
  <c r="C23" i="9"/>
  <c r="C24" i="9"/>
  <c r="C25" i="9"/>
  <c r="C26" i="9"/>
  <c r="I26" i="9" s="1"/>
  <c r="K26" i="9" s="1"/>
  <c r="C27" i="9"/>
  <c r="C28" i="9"/>
  <c r="C29" i="9"/>
  <c r="C30" i="9"/>
  <c r="C31" i="9"/>
  <c r="C32" i="9"/>
  <c r="C33" i="9"/>
  <c r="I33" i="9" s="1"/>
  <c r="K33" i="9" s="1"/>
  <c r="C34" i="9"/>
  <c r="I34" i="9" s="1"/>
  <c r="K34" i="9" s="1"/>
  <c r="C35" i="9"/>
  <c r="C36" i="9"/>
  <c r="C37" i="9"/>
  <c r="C38" i="9"/>
  <c r="C39" i="9"/>
  <c r="C40" i="9"/>
  <c r="C41" i="9"/>
  <c r="C9" i="9"/>
  <c r="O9" i="11"/>
  <c r="M9" i="11"/>
  <c r="K10" i="11"/>
  <c r="G9" i="11"/>
  <c r="E9" i="11"/>
  <c r="C9" i="11"/>
  <c r="Q9" i="21"/>
  <c r="Q41" i="21" s="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8" i="21"/>
  <c r="I9" i="19"/>
  <c r="I10" i="19"/>
  <c r="I8" i="19"/>
  <c r="Q9" i="19"/>
  <c r="Q10" i="19"/>
  <c r="Q8" i="19"/>
  <c r="O41" i="21"/>
  <c r="G41" i="21"/>
  <c r="AK9" i="5"/>
  <c r="K11" i="7"/>
  <c r="K8" i="7"/>
  <c r="K12" i="7" s="1"/>
  <c r="I8" i="7"/>
  <c r="I12" i="7" s="1"/>
  <c r="Q10" i="5"/>
  <c r="S10" i="5"/>
  <c r="W10" i="5"/>
  <c r="AA10" i="5"/>
  <c r="AG10" i="5"/>
  <c r="AI10" i="5"/>
  <c r="AK10" i="5"/>
  <c r="Y41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9" i="2"/>
  <c r="G41" i="2"/>
  <c r="O41" i="2"/>
  <c r="E9" i="24"/>
  <c r="I41" i="21"/>
  <c r="M41" i="21"/>
  <c r="E41" i="21"/>
  <c r="G11" i="19"/>
  <c r="Q11" i="19"/>
  <c r="O11" i="19"/>
  <c r="M11" i="19"/>
  <c r="E11" i="19"/>
  <c r="G11" i="18"/>
  <c r="O11" i="15"/>
  <c r="I9" i="7"/>
  <c r="K9" i="7" s="1"/>
  <c r="I10" i="7"/>
  <c r="K10" i="7" s="1"/>
  <c r="I11" i="7"/>
  <c r="K41" i="2"/>
  <c r="U41" i="2"/>
  <c r="W41" i="2"/>
  <c r="E41" i="2"/>
  <c r="M11" i="15"/>
  <c r="K11" i="15"/>
  <c r="I11" i="15"/>
  <c r="S41" i="9" l="1"/>
  <c r="I12" i="9"/>
  <c r="K12" i="9" s="1"/>
  <c r="I32" i="9"/>
  <c r="K32" i="9" s="1"/>
  <c r="I20" i="9"/>
  <c r="K20" i="9" s="1"/>
  <c r="S17" i="9"/>
  <c r="S28" i="9"/>
  <c r="S16" i="9"/>
  <c r="I25" i="9"/>
  <c r="K25" i="9" s="1"/>
  <c r="I24" i="9"/>
  <c r="K24" i="9" s="1"/>
  <c r="I35" i="9"/>
  <c r="K35" i="9" s="1"/>
  <c r="I23" i="9"/>
  <c r="K23" i="9" s="1"/>
  <c r="I11" i="9"/>
  <c r="K11" i="9" s="1"/>
  <c r="S14" i="9"/>
  <c r="S12" i="9"/>
  <c r="S23" i="9"/>
  <c r="S11" i="9"/>
  <c r="S10" i="9"/>
  <c r="S31" i="9"/>
  <c r="S19" i="9"/>
  <c r="I41" i="9"/>
  <c r="K41" i="9" s="1"/>
  <c r="S30" i="9"/>
  <c r="S18" i="9"/>
  <c r="I16" i="9"/>
  <c r="K16" i="9" s="1"/>
  <c r="I15" i="9"/>
  <c r="K15" i="9" s="1"/>
  <c r="I37" i="9"/>
  <c r="K37" i="9" s="1"/>
  <c r="S40" i="9"/>
  <c r="I38" i="9"/>
  <c r="K38" i="9" s="1"/>
  <c r="S39" i="9"/>
  <c r="S27" i="9"/>
  <c r="S15" i="9"/>
  <c r="S38" i="9"/>
  <c r="S26" i="9"/>
  <c r="S37" i="9"/>
  <c r="S25" i="9"/>
  <c r="S13" i="9"/>
  <c r="S36" i="9"/>
  <c r="S24" i="9"/>
  <c r="S35" i="9"/>
  <c r="S29" i="9"/>
  <c r="S34" i="9"/>
  <c r="S22" i="9"/>
  <c r="I36" i="9"/>
  <c r="K36" i="9" s="1"/>
  <c r="S33" i="9"/>
  <c r="S21" i="9"/>
  <c r="S32" i="9"/>
  <c r="S20" i="9"/>
  <c r="I9" i="9"/>
  <c r="K9" i="9" s="1"/>
  <c r="I30" i="9"/>
  <c r="K30" i="9" s="1"/>
  <c r="I18" i="9"/>
  <c r="K18" i="9" s="1"/>
  <c r="I29" i="9"/>
  <c r="K29" i="9" s="1"/>
  <c r="I17" i="9"/>
  <c r="K17" i="9" s="1"/>
  <c r="I40" i="9"/>
  <c r="K40" i="9" s="1"/>
  <c r="I28" i="9"/>
  <c r="K28" i="9" s="1"/>
  <c r="I31" i="9"/>
  <c r="K31" i="9" s="1"/>
  <c r="I19" i="9"/>
  <c r="K19" i="9" s="1"/>
  <c r="I39" i="9"/>
  <c r="K39" i="9" s="1"/>
  <c r="I27" i="9"/>
  <c r="K27" i="9" s="1"/>
  <c r="S9" i="9"/>
  <c r="I9" i="11"/>
  <c r="I11" i="19"/>
  <c r="S11" i="15"/>
  <c r="Q11" i="15"/>
  <c r="G10" i="13"/>
  <c r="G9" i="13"/>
  <c r="G8" i="13"/>
  <c r="C10" i="13"/>
  <c r="C9" i="13"/>
  <c r="C8" i="13"/>
  <c r="E10" i="14"/>
  <c r="G9" i="17"/>
  <c r="A1" i="21"/>
  <c r="A1" i="20"/>
  <c r="A1" i="19"/>
  <c r="A1" i="18"/>
  <c r="A1" i="17"/>
  <c r="A1" i="15"/>
  <c r="A1" i="14"/>
  <c r="A1" i="13"/>
  <c r="A1" i="11"/>
  <c r="A1" i="9"/>
  <c r="A1" i="8"/>
  <c r="A1" i="7"/>
  <c r="A1" i="5"/>
  <c r="K42" i="9" l="1"/>
  <c r="L11" i="8"/>
  <c r="M11" i="8"/>
  <c r="O10" i="11"/>
  <c r="A3" i="24"/>
  <c r="A3" i="21"/>
  <c r="A3" i="20"/>
  <c r="A3" i="19"/>
  <c r="A3" i="18"/>
  <c r="A3" i="17"/>
  <c r="A3" i="15"/>
  <c r="A3" i="14"/>
  <c r="A3" i="13"/>
  <c r="A3" i="11"/>
  <c r="A3" i="9"/>
  <c r="A3" i="8"/>
  <c r="A3" i="7"/>
  <c r="A3" i="5"/>
  <c r="M9" i="17"/>
  <c r="F10" i="24" l="1"/>
  <c r="E10" i="24"/>
  <c r="D10" i="24"/>
  <c r="A1" i="24"/>
  <c r="Q42" i="9" l="1"/>
  <c r="M42" i="9"/>
  <c r="O42" i="9"/>
  <c r="E42" i="9"/>
  <c r="G42" i="9"/>
  <c r="C42" i="9"/>
  <c r="M10" i="11"/>
  <c r="C11" i="13"/>
  <c r="E9" i="13" s="1"/>
  <c r="G11" i="13"/>
  <c r="D10" i="20"/>
  <c r="H10" i="20"/>
  <c r="F10" i="20"/>
  <c r="J10" i="20"/>
  <c r="L10" i="20"/>
  <c r="M11" i="18"/>
  <c r="K11" i="18"/>
  <c r="I11" i="18"/>
  <c r="E11" i="18"/>
  <c r="C11" i="18"/>
  <c r="Q9" i="17"/>
  <c r="O9" i="17"/>
  <c r="I9" i="17"/>
  <c r="E8" i="13" l="1"/>
  <c r="S42" i="9"/>
  <c r="F8" i="8" s="1"/>
  <c r="L10" i="8"/>
  <c r="M10" i="8"/>
  <c r="I42" i="9"/>
  <c r="I8" i="13"/>
  <c r="I10" i="13"/>
  <c r="E10" i="13"/>
  <c r="E11" i="13" s="1"/>
  <c r="I9" i="13"/>
  <c r="K9" i="17"/>
  <c r="C10" i="11"/>
  <c r="E10" i="11"/>
  <c r="Q9" i="11"/>
  <c r="G10" i="11"/>
  <c r="F12" i="8" l="1"/>
  <c r="J8" i="8"/>
  <c r="J12" i="8" s="1"/>
  <c r="L8" i="8"/>
  <c r="M8" i="8"/>
  <c r="Q10" i="11"/>
  <c r="I10" i="11"/>
  <c r="I11" i="13"/>
  <c r="L9" i="8" l="1"/>
  <c r="L12" i="8" s="1"/>
  <c r="L14" i="8" s="1"/>
  <c r="M9" i="8"/>
  <c r="M12" i="8" s="1"/>
  <c r="U35" i="9" l="1"/>
  <c r="U15" i="9"/>
  <c r="U24" i="9"/>
  <c r="U37" i="9"/>
  <c r="U11" i="9"/>
  <c r="U30" i="9"/>
  <c r="U27" i="9"/>
  <c r="U16" i="9"/>
  <c r="U28" i="9"/>
  <c r="U41" i="9"/>
  <c r="U19" i="9"/>
  <c r="U20" i="9"/>
  <c r="U12" i="9"/>
  <c r="U39" i="9"/>
  <c r="H8" i="8"/>
  <c r="U36" i="9"/>
  <c r="U29" i="9"/>
  <c r="U38" i="9"/>
  <c r="U32" i="9"/>
  <c r="U31" i="9"/>
  <c r="U21" i="9"/>
  <c r="U13" i="9"/>
  <c r="U40" i="9"/>
  <c r="U25" i="9"/>
  <c r="U17" i="9"/>
  <c r="U14" i="9"/>
  <c r="U26" i="9"/>
  <c r="U33" i="9"/>
  <c r="U18" i="9"/>
  <c r="U10" i="9"/>
  <c r="U34" i="9"/>
  <c r="U9" i="9"/>
  <c r="U22" i="9"/>
  <c r="U23" i="9"/>
  <c r="M15" i="8"/>
  <c r="U42" i="9" l="1"/>
  <c r="H11" i="8"/>
  <c r="H10" i="8"/>
  <c r="H9" i="8"/>
  <c r="H12" i="8" l="1"/>
</calcChain>
</file>

<file path=xl/sharedStrings.xml><?xml version="1.0" encoding="utf-8"?>
<sst xmlns="http://schemas.openxmlformats.org/spreadsheetml/2006/main" count="485" uniqueCount="180">
  <si>
    <t>صندوق سرمایه گذاری بخشی افق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</si>
  <si>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</si>
  <si>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</si>
  <si>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</si>
  <si>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</si>
  <si>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</si>
  <si>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</si>
  <si>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</si>
  <si>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</si>
  <si>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</si>
  <si>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</si>
  <si>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</si>
  <si>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پتروشیمی پارس</t>
  </si>
  <si>
    <t>پتروشیمی پردیس</t>
  </si>
  <si>
    <t>پتروشیمی تندگویان</t>
  </si>
  <si>
    <t>پتروشیمی فناوران</t>
  </si>
  <si>
    <t>پتروشیمی نوری</t>
  </si>
  <si>
    <t>پتروشیمی‌ خارک‌</t>
  </si>
  <si>
    <t>پتروشیمی‌شیراز</t>
  </si>
  <si>
    <t>پلیمر آریا ساسول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</si>
  <si>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</si>
  <si>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</si>
  <si>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</si>
  <si>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</si>
  <si>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س. نفت و گاز و پتروشیمی تأمین</t>
  </si>
  <si>
    <t>سرمایه‌گذاری صنایع پتروشیمی‌</t>
  </si>
  <si>
    <t>صنایع پتروشیمی خلیج فارس</t>
  </si>
  <si>
    <t>صنایع شیمیایی کیمیاگران امروز</t>
  </si>
  <si>
    <t>گ.س.وت.ص.پتروشیمی خلیج فارس</t>
  </si>
  <si>
    <t>گسترش نفت و گاز پارسیان</t>
  </si>
  <si>
    <t>گلتاش‌</t>
  </si>
  <si>
    <t>مدیریت صنعت شوینده ت.ص.بهشهر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</si>
  <si>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</si>
  <si>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</si>
  <si>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</si>
  <si>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</si>
  <si>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</si>
  <si>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جمع</t>
  </si>
  <si>
    <t>نام سهام</t>
  </si>
  <si>
    <t>قیمت اعمال</t>
  </si>
  <si>
    <t>تاریخ اعمال</t>
  </si>
  <si>
    <t>نرخ سود موثر</t>
  </si>
  <si>
    <t>تعداد اوراق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</si>
  <si>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</si>
  <si>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</si>
  <si>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</si>
  <si>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</si>
  <si>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</si>
  <si>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</si>
  <si>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</si>
  <si>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</si>
  <si>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</si>
  <si>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</si>
  <si>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</si>
  <si>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</si>
  <si>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</si>
  <si>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</si>
  <si>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</si>
  <si>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</si>
  <si>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</si>
  <si>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</si>
  <si>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</si>
  <si>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</si>
  <si>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</si>
  <si>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</si>
  <si>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</si>
  <si>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</si>
  <si>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</si>
  <si>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</si>
  <si>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</si>
  <si>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</si>
  <si>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</si>
  <si>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</si>
  <si>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</si>
  <si>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</si>
  <si>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</si>
  <si>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</si>
  <si>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</si>
  <si>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</si>
  <si>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جم</t>
  </si>
  <si>
    <t>عنوان</t>
  </si>
  <si>
    <t>درآمد سود اوراق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</si>
  <si>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</si>
  <si>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</si>
  <si>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</si>
  <si>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</si>
  <si>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</si>
  <si>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</si>
  <si>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</si>
  <si>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</si>
  <si>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</si>
  <si>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</si>
  <si>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</si>
  <si>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</si>
  <si>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</si>
  <si>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</si>
  <si>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</si>
  <si>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</si>
  <si>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</si>
  <si>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</si>
  <si>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</si>
  <si>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</si>
  <si>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</si>
  <si>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</si>
  <si>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</si>
  <si>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</si>
  <si>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</si>
  <si>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</si>
  <si>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</si>
  <si>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</si>
  <si>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</si>
  <si>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</si>
  <si>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</si>
  <si>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</si>
  <si>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</si>
  <si>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</si>
  <si>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</si>
  <si>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.</t>
  </si>
  <si>
    <t>در اجرای ابلاغیه شماره 12020093 مورخ 1396/09/05 سازمان بورس اوراق بهادار</t>
  </si>
  <si>
    <t>گزارش افشا پرتفوی ماهانه</t>
  </si>
  <si>
    <t>1-2-سرمایه‌گذاری در اوراق بهادار با درآمد ثابت یا علی‌الحساب</t>
  </si>
  <si>
    <t>1-3-سرمایه‌گذاری در  سپرده‌ بانکی</t>
  </si>
  <si>
    <t>سپرده کوتاه مدت بانک پاسارگاد</t>
  </si>
  <si>
    <t>سپرده کوتاه مدت بانک صادرات</t>
  </si>
  <si>
    <t>سپرده کوتاه مدت بانک سینا</t>
  </si>
  <si>
    <t>1-2-درآمد حاصل از سرمایه­گذاری در سهام و حق تقدم سهام</t>
  </si>
  <si>
    <t>2-2-درآمد حاصل از سرمایه­گذاری در اوراق بهادار با درآمد ثابت:</t>
  </si>
  <si>
    <t>3-2-درآمد حاصل از سرمایه­گذاری در سپرده بانکی و گواهی سپرده</t>
  </si>
  <si>
    <t>4-2-سایر درآمدها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</si>
  <si>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</si>
  <si>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</si>
  <si>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</si>
  <si>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</si>
  <si>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 xml:space="preserve">صکوک مرابحه اندیمشک07-6ماهه23% </t>
  </si>
  <si>
    <t>33</t>
  </si>
  <si>
    <t xml:space="preserve"> </t>
  </si>
  <si>
    <t>پتروشیمی مارون</t>
  </si>
  <si>
    <t>سپرده بانک سینا</t>
  </si>
  <si>
    <t>سپرده بانک پاسارگاد</t>
  </si>
  <si>
    <t>سپرده بانک صادرات</t>
  </si>
  <si>
    <t>سپرده بانک پاسارگاد بانکداری دیجیتال</t>
  </si>
  <si>
    <t>صندوق سرمایه گذاری افق دماوند</t>
  </si>
  <si>
    <t>نوع موقعیت</t>
  </si>
  <si>
    <t>1404/12/13</t>
  </si>
  <si>
    <t>-</t>
  </si>
  <si>
    <t>موقعیت فروش</t>
  </si>
  <si>
    <t>اختیار خرید</t>
  </si>
  <si>
    <t>اختیارخ فارس-10000-1404/12/13</t>
  </si>
  <si>
    <t>استراتژی ماخوذه</t>
  </si>
  <si>
    <t>نوع اختیار</t>
  </si>
  <si>
    <t>‫دوره یک ماهه منتهی 31  اردیبهشت 1405</t>
  </si>
  <si>
    <t>1405/01/31</t>
  </si>
  <si>
    <t>1405/02/31</t>
  </si>
  <si>
    <t>پتروشیمی اروند</t>
  </si>
  <si>
    <t>پتروشیمی امیرکبیر</t>
  </si>
  <si>
    <t>پتروشیمی جم پیلن</t>
  </si>
  <si>
    <t>کارخانجات تولیدی نیروترانسفو</t>
  </si>
  <si>
    <t>پتروشیمی شازند</t>
  </si>
  <si>
    <t>1405/02/30</t>
  </si>
  <si>
    <t>اطلاعات آماری مرتبط با موقعیت های اخذ شده در اوراق اختیار معامله توسط صندوق سرمایه گذاری:</t>
  </si>
  <si>
    <t>برای ماه منتهی به 1405/02/31</t>
  </si>
  <si>
    <t>-20.00%</t>
  </si>
  <si>
    <t>0.00%</t>
  </si>
  <si>
    <t>-19.99%</t>
  </si>
  <si>
    <t>-19.98%</t>
  </si>
  <si>
    <t>-40.00%</t>
  </si>
  <si>
    <t>-30.00%</t>
  </si>
  <si>
    <t>-19.97%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</si>
  <si>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</si>
  <si>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</si>
  <si>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</si>
  <si>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</si>
  <si>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</si>
  <si>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</si>
  <si>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</si>
  <si>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</si>
  <si>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تصمیم مدیریت</t>
  </si>
  <si>
    <t>1405/01/30</t>
  </si>
  <si>
    <t>1405/02/27</t>
  </si>
  <si>
    <t>1405/01/24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</si>
</sst>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-;\(#,##0\)"/>
    <numFmt numFmtId="166" formatCode="_(* #,##0_);_(* \(#,##0\);_(* &quot;-&quot;??_);_(@_)"/>
    <numFmt numFmtId="167" formatCode="#,##0.000_);\(#,##0.000\)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4"/>
      <color indexed="8"/>
      <name val="B Nazanin"/>
      <charset val="178"/>
    </font>
    <font>
      <sz val="18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4"/>
      <color indexed="8"/>
      <name val="B Nazanin"/>
      <charset val="178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  <charset val="178"/>
    </font>
    <font>
      <b/>
      <sz val="1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4" fillId="0" borderId="0"/>
    <xf numFmtId="0" fontId="11" fillId="0" borderId="0"/>
    <xf numFmtId="164" fontId="19" fillId="0" borderId="0" applyFont="0" applyFill="0" applyBorder="0" applyAlignment="0" applyProtection="0"/>
  </cellStyleXfs>
  <cellXfs count="12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9" fillId="0" borderId="0" xfId="1" applyFont="1"/>
    <xf numFmtId="0" fontId="10" fillId="0" borderId="0" xfId="1" applyFont="1"/>
    <xf numFmtId="3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readingOrder="2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readingOrder="2"/>
    </xf>
    <xf numFmtId="0" fontId="3" fillId="0" borderId="4" xfId="0" applyFont="1" applyBorder="1" applyAlignment="1">
      <alignment horizontal="center" vertical="center"/>
    </xf>
    <xf numFmtId="37" fontId="4" fillId="0" borderId="0" xfId="0" applyNumberFormat="1" applyFont="1" applyAlignment="1">
      <alignment horizontal="center"/>
    </xf>
    <xf numFmtId="37" fontId="4" fillId="0" borderId="5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7" fontId="0" fillId="0" borderId="0" xfId="0" applyNumberFormat="1" applyAlignment="1">
      <alignment horizontal="left"/>
    </xf>
    <xf numFmtId="37" fontId="4" fillId="0" borderId="6" xfId="0" applyNumberFormat="1" applyFont="1" applyBorder="1" applyAlignment="1">
      <alignment horizontal="center" vertical="top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0" fontId="12" fillId="0" borderId="0" xfId="2"/>
    <xf numFmtId="0" fontId="12" fillId="0" borderId="0" xfId="2" applyAlignment="1">
      <alignment horizontal="center" vertical="center"/>
    </xf>
    <xf numFmtId="37" fontId="13" fillId="0" borderId="0" xfId="3" applyNumberFormat="1" applyFont="1" applyFill="1" applyBorder="1" applyAlignment="1">
      <alignment horizontal="center" vertical="center" shrinkToFit="1"/>
    </xf>
    <xf numFmtId="37" fontId="15" fillId="0" borderId="0" xfId="4" applyNumberFormat="1" applyFont="1" applyAlignment="1">
      <alignment horizontal="center" vertical="center" wrapText="1"/>
    </xf>
    <xf numFmtId="37" fontId="16" fillId="0" borderId="8" xfId="3" applyNumberFormat="1" applyFont="1" applyFill="1" applyBorder="1" applyAlignment="1">
      <alignment horizontal="center" vertical="center" shrinkToFit="1"/>
    </xf>
    <xf numFmtId="37" fontId="16" fillId="0" borderId="6" xfId="3" applyNumberFormat="1" applyFont="1" applyFill="1" applyBorder="1" applyAlignment="1">
      <alignment horizontal="center" vertical="center" shrinkToFit="1"/>
    </xf>
    <xf numFmtId="0" fontId="14" fillId="0" borderId="0" xfId="4"/>
    <xf numFmtId="49" fontId="15" fillId="0" borderId="9" xfId="4" applyNumberFormat="1" applyFont="1" applyBorder="1" applyAlignment="1">
      <alignment horizontal="center" vertical="center" wrapText="1"/>
    </xf>
    <xf numFmtId="37" fontId="15" fillId="0" borderId="9" xfId="4" applyNumberFormat="1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/>
    </xf>
    <xf numFmtId="0" fontId="17" fillId="2" borderId="11" xfId="4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left"/>
    </xf>
    <xf numFmtId="166" fontId="0" fillId="0" borderId="0" xfId="6" applyNumberFormat="1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3" fontId="4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37" fontId="4" fillId="0" borderId="2" xfId="0" applyNumberFormat="1" applyFont="1" applyBorder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9" fontId="4" fillId="0" borderId="0" xfId="0" applyNumberFormat="1" applyFont="1" applyAlignment="1">
      <alignment horizontal="right" vertical="center"/>
    </xf>
    <xf numFmtId="37" fontId="4" fillId="0" borderId="4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top"/>
    </xf>
    <xf numFmtId="37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167" fontId="0" fillId="0" borderId="0" xfId="0" applyNumberFormat="1" applyAlignment="1">
      <alignment horizontal="center"/>
    </xf>
    <xf numFmtId="3" fontId="4" fillId="0" borderId="5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37" fontId="4" fillId="0" borderId="6" xfId="0" applyNumberFormat="1" applyFont="1" applyBorder="1" applyAlignment="1">
      <alignment horizontal="right" vertical="center"/>
    </xf>
    <xf numFmtId="39" fontId="0" fillId="0" borderId="0" xfId="0" applyNumberFormat="1" applyAlignment="1">
      <alignment horizontal="right" vertical="center"/>
    </xf>
    <xf numFmtId="37" fontId="4" fillId="0" borderId="5" xfId="0" applyNumberFormat="1" applyFont="1" applyBorder="1" applyAlignment="1">
      <alignment horizontal="right" vertical="center"/>
    </xf>
    <xf numFmtId="39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37" fontId="21" fillId="0" borderId="0" xfId="1" applyNumberFormat="1" applyFont="1" applyAlignment="1">
      <alignment horizontal="center" vertical="center"/>
    </xf>
    <xf numFmtId="0" fontId="8" fillId="0" borderId="0" xfId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5" applyFont="1" applyAlignment="1">
      <alignment horizontal="center" vertical="center"/>
    </xf>
    <xf numFmtId="165" fontId="18" fillId="0" borderId="0" xfId="4" applyNumberFormat="1" applyFont="1" applyAlignment="1">
      <alignment horizontal="right" vertical="center"/>
    </xf>
    <xf numFmtId="165" fontId="14" fillId="0" borderId="0" xfId="4" applyNumberFormat="1"/>
  </cellXfs>
  <cellStyles count="7">
    <cellStyle name="Comma" xfId="6" builtinId="3"/>
    <cellStyle name="Comma 2 2 2" xfId="3" xr:uid="{6C44EE83-7629-486C-86DA-4CCB53F970C4}"/>
    <cellStyle name="Normal" xfId="0" builtinId="0"/>
    <cellStyle name="Normal 2" xfId="1" xr:uid="{425A1797-DB7E-4DB8-9B20-63E849E5664B}"/>
    <cellStyle name="Normal 2 2" xfId="4" xr:uid="{785E5991-2F6D-4DF5-9E65-70DBDC5B8E77}"/>
    <cellStyle name="Normal 2 3" xfId="5" xr:uid="{45952946-8717-4D47-B1D3-A73F89DEB58D}"/>
    <cellStyle name="Normal 2 4" xfId="2" xr:uid="{8D8F4484-EE75-49F8-981B-6262E7644C1C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63500</xdr:colOff>
      <xdr:row>0</xdr:row>
      <xdr:rowOff>1</xdr:rowOff>
    </xdr:from>
    <xdr:ext cx="4200525" cy="5194299"/>
    <xdr:pic>
      <xdr:nvPicPr>
        <xdr:cNvPr id="2" name="Picture 1">
          <a:extLst>
            <a:ext uri="{FF2B5EF4-FFF2-40B4-BE49-F238E27FC236}">
              <a16:creationId xmlns:a16="http://schemas.microsoft.com/office/drawing/2014/main" id="{564A2B5C-F29F-4BFA-8255-1F770370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3175" y="1"/>
          <a:ext cx="4200525" cy="519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CE48-CCE8-4CDA-8DAB-218A3D508442}">
  <sheetPr>
    <tabColor rgb="FF92D050"/>
    <pageSetUpPr fitToPage="1"/>
  </sheetPr>
  <dimension ref="A1:V36"/>
  <sheetViews>
    <sheetView rightToLeft="1" tabSelected="1" view="pageBreakPreview" topLeftCell="A16" zoomScaleNormal="100" zoomScaleSheetLayoutView="100" workbookViewId="0">
      <selection activeCell="A28" sqref="A28"/>
    </sheetView>
  </sheetViews>
  <sheetFormatPr defaultColWidth="9.140625" defaultRowHeight="18.75"/>
  <cols>
    <col min="1" max="1" width="3.7109375" style="15" customWidth="1"/>
    <col min="2" max="8" width="13.42578125" style="15" customWidth="1"/>
    <col min="9" max="9" width="9.140625" style="15"/>
    <col min="10" max="10" width="12.42578125" style="15" bestFit="1" customWidth="1"/>
    <col min="11" max="16384" width="9.140625" style="15"/>
  </cols>
  <sheetData>
    <row r="1" spans="1:22" s="17" customFormat="1" ht="2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s="17" customFormat="1" ht="22.5"/>
    <row r="3" spans="1:22" s="17" customFormat="1" ht="22.5"/>
    <row r="4" spans="1:22" s="17" customFormat="1" ht="22.5"/>
    <row r="23" spans="1:8" ht="29.45" customHeight="1"/>
    <row r="24" spans="1:8" ht="39" customHeight="1">
      <c r="A24" s="108" t="s">
        <v>0</v>
      </c>
      <c r="B24" s="109"/>
      <c r="C24" s="109"/>
      <c r="D24" s="109"/>
      <c r="E24" s="109"/>
      <c r="F24" s="109"/>
      <c r="G24" s="109"/>
      <c r="H24" s="109"/>
    </row>
    <row r="25" spans="1:8" ht="39" customHeight="1">
      <c r="A25" s="108" t="s">
        <v>119</v>
      </c>
      <c r="B25" s="109"/>
      <c r="C25" s="109"/>
      <c r="D25" s="109"/>
      <c r="E25" s="109"/>
      <c r="F25" s="109"/>
      <c r="G25" s="109"/>
      <c r="H25" s="109"/>
    </row>
    <row r="26" spans="1:8" ht="39" customHeight="1">
      <c r="A26" s="108" t="s">
        <v>118</v>
      </c>
      <c r="B26" s="109"/>
      <c r="C26" s="109"/>
      <c r="D26" s="109"/>
      <c r="E26" s="109"/>
      <c r="F26" s="109"/>
      <c r="G26" s="109"/>
      <c r="H26" s="109"/>
    </row>
    <row r="27" spans="1:8" ht="39" customHeight="1">
      <c r="A27" s="108" t="s">
        <v>150</v>
      </c>
      <c r="B27" s="109"/>
      <c r="C27" s="109"/>
      <c r="D27" s="109"/>
      <c r="E27" s="109"/>
      <c r="F27" s="109"/>
      <c r="G27" s="109"/>
      <c r="H27" s="109"/>
    </row>
    <row r="32" spans="1:8" s="16" customFormat="1" ht="22.5">
      <c r="B32" s="15"/>
      <c r="C32" s="15"/>
      <c r="D32" s="15"/>
      <c r="E32" s="15"/>
      <c r="F32" s="15"/>
      <c r="G32" s="15"/>
      <c r="H32" s="15"/>
    </row>
    <row r="33" spans="1:8" s="16" customFormat="1" ht="22.5">
      <c r="B33" s="15"/>
      <c r="C33" s="15"/>
      <c r="D33" s="15"/>
      <c r="E33" s="15"/>
      <c r="F33" s="15"/>
      <c r="G33" s="15"/>
      <c r="H33" s="15"/>
    </row>
    <row r="36" spans="1:8">
      <c r="A36" s="15" t="s">
        <v>117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I13"/>
  <sheetViews>
    <sheetView rightToLeft="1" view="pageBreakPreview" zoomScaleNormal="100" zoomScaleSheetLayoutView="100" workbookViewId="0">
      <selection activeCell="K26" sqref="K26"/>
    </sheetView>
  </sheetViews>
  <sheetFormatPr defaultRowHeight="12.75"/>
  <cols>
    <col min="1" max="1" width="24.140625" bestFit="1" customWidth="1"/>
    <col min="2" max="2" width="1.28515625" customWidth="1"/>
    <col min="3" max="3" width="19.42578125" customWidth="1"/>
    <col min="4" max="4" width="1.28515625" customWidth="1"/>
    <col min="5" max="5" width="20.7109375" customWidth="1"/>
    <col min="6" max="6" width="1.28515625" customWidth="1"/>
    <col min="7" max="7" width="19.42578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</row>
    <row r="2" spans="1:9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</row>
    <row r="3" spans="1:9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</row>
    <row r="4" spans="1:9" ht="14.45" customHeight="1"/>
    <row r="5" spans="1:9" ht="14.45" customHeight="1">
      <c r="A5" s="111" t="s">
        <v>127</v>
      </c>
      <c r="B5" s="111"/>
      <c r="C5" s="111"/>
      <c r="D5" s="111"/>
      <c r="E5" s="111"/>
      <c r="F5" s="111"/>
      <c r="G5" s="111"/>
      <c r="H5" s="111"/>
      <c r="I5" s="111"/>
    </row>
    <row r="6" spans="1:9" ht="14.45" customHeight="1">
      <c r="C6" s="112" t="s">
        <v>73</v>
      </c>
      <c r="D6" s="112"/>
      <c r="E6" s="112"/>
      <c r="G6" s="112" t="s">
        <v>74</v>
      </c>
      <c r="H6" s="112"/>
      <c r="I6" s="112"/>
    </row>
    <row r="7" spans="1:9" ht="36.4" customHeight="1">
      <c r="A7" s="21" t="s">
        <v>88</v>
      </c>
      <c r="C7" s="8" t="s">
        <v>89</v>
      </c>
      <c r="D7" s="3"/>
      <c r="E7" s="8" t="s">
        <v>90</v>
      </c>
      <c r="G7" s="8" t="s">
        <v>89</v>
      </c>
      <c r="H7" s="3"/>
      <c r="I7" s="8" t="s">
        <v>90</v>
      </c>
    </row>
    <row r="8" spans="1:9" ht="21.75" customHeight="1">
      <c r="A8" s="13" t="s">
        <v>124</v>
      </c>
      <c r="C8" s="34">
        <f>'سود سپرده بانکی'!C8</f>
        <v>121987</v>
      </c>
      <c r="D8" s="31"/>
      <c r="E8" s="36">
        <f>C8/$C$11*100</f>
        <v>88.996133362515508</v>
      </c>
      <c r="F8" s="31"/>
      <c r="G8" s="34">
        <f>'سود سپرده بانکی'!I8</f>
        <v>240652</v>
      </c>
      <c r="H8" s="31"/>
      <c r="I8" s="36">
        <f>G8/$G$11*100</f>
        <v>20.237329384290785</v>
      </c>
    </row>
    <row r="9" spans="1:9" ht="21.75" customHeight="1">
      <c r="A9" s="12" t="s">
        <v>122</v>
      </c>
      <c r="C9" s="37">
        <f>'سود سپرده بانکی'!C9</f>
        <v>15083</v>
      </c>
      <c r="D9" s="31"/>
      <c r="E9" s="36">
        <f>C9/$C$11*100</f>
        <v>11.003866637484498</v>
      </c>
      <c r="F9" s="31"/>
      <c r="G9" s="37">
        <f>'سود سپرده بانکی'!I9</f>
        <v>946452</v>
      </c>
      <c r="H9" s="31"/>
      <c r="I9" s="36">
        <f t="shared" ref="I9:I10" si="0">G9/$G$11*100</f>
        <v>79.590698894755832</v>
      </c>
    </row>
    <row r="10" spans="1:9" ht="21.75" customHeight="1">
      <c r="A10" s="12" t="s">
        <v>123</v>
      </c>
      <c r="C10" s="38">
        <f>'سود سپرده بانکی'!C10</f>
        <v>0</v>
      </c>
      <c r="D10" s="31"/>
      <c r="E10" s="36">
        <f>C10/$C$11*100</f>
        <v>0</v>
      </c>
      <c r="F10" s="31"/>
      <c r="G10" s="38">
        <f>'سود سپرده بانکی'!I10</f>
        <v>2045</v>
      </c>
      <c r="H10" s="31"/>
      <c r="I10" s="36">
        <f t="shared" si="0"/>
        <v>0.17197172095338767</v>
      </c>
    </row>
    <row r="11" spans="1:9" ht="21.75" customHeight="1" thickBot="1">
      <c r="A11" s="22"/>
      <c r="C11" s="39">
        <f>SUM(C8:C10)</f>
        <v>137070</v>
      </c>
      <c r="D11" s="31"/>
      <c r="E11" s="39">
        <f>SUM(E8:E10)</f>
        <v>100</v>
      </c>
      <c r="F11" s="31"/>
      <c r="G11" s="39">
        <f>SUM(G8:G10)</f>
        <v>1189149</v>
      </c>
      <c r="H11" s="31"/>
      <c r="I11" s="39">
        <f>SUM(I8:I10)</f>
        <v>100.00000000000001</v>
      </c>
    </row>
    <row r="12" spans="1:9" ht="13.5" thickTop="1">
      <c r="C12" s="40"/>
      <c r="G12" s="40"/>
    </row>
    <row r="13" spans="1:9">
      <c r="C13" s="40"/>
      <c r="G13" s="40"/>
    </row>
  </sheetData>
  <mergeCells count="6">
    <mergeCell ref="A5:I5"/>
    <mergeCell ref="C6:E6"/>
    <mergeCell ref="G6:I6"/>
    <mergeCell ref="A1:I1"/>
    <mergeCell ref="A2:I2"/>
    <mergeCell ref="A3:I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H15"/>
  <sheetViews>
    <sheetView rightToLeft="1" view="pageBreakPreview" zoomScale="130" zoomScaleNormal="100" zoomScaleSheetLayoutView="130" workbookViewId="0">
      <selection activeCell="G19" sqref="G19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8" ht="29.1" customHeight="1">
      <c r="A1" s="110" t="str">
        <f>سهام!A1</f>
        <v>صندوق سرمایه گذاری افق دماوند</v>
      </c>
      <c r="B1" s="110"/>
      <c r="C1" s="110"/>
      <c r="D1" s="110"/>
      <c r="E1" s="110"/>
    </row>
    <row r="2" spans="1:8" ht="21.75" customHeight="1">
      <c r="A2" s="110" t="s">
        <v>58</v>
      </c>
      <c r="B2" s="110"/>
      <c r="C2" s="110"/>
      <c r="D2" s="110"/>
      <c r="E2" s="110"/>
    </row>
    <row r="3" spans="1:8" ht="21.75" customHeight="1">
      <c r="A3" s="110" t="str">
        <f>سهام!A3</f>
        <v>برای ماه منتهی به 1405/02/31</v>
      </c>
      <c r="B3" s="110"/>
      <c r="C3" s="110"/>
      <c r="D3" s="110"/>
      <c r="E3" s="110"/>
    </row>
    <row r="4" spans="1:8" ht="14.45" customHeight="1"/>
    <row r="5" spans="1:8" ht="29.1" customHeight="1">
      <c r="A5" s="111" t="s">
        <v>128</v>
      </c>
      <c r="B5" s="111"/>
      <c r="C5" s="111"/>
      <c r="D5" s="111"/>
      <c r="E5" s="111"/>
    </row>
    <row r="6" spans="1:8" ht="14.45" customHeight="1">
      <c r="C6" s="2" t="s">
        <v>73</v>
      </c>
      <c r="E6" s="2" t="s">
        <v>152</v>
      </c>
    </row>
    <row r="7" spans="1:8" ht="14.45" customHeight="1">
      <c r="A7" s="21" t="s">
        <v>72</v>
      </c>
      <c r="C7" s="4" t="s">
        <v>55</v>
      </c>
      <c r="E7" s="4" t="s">
        <v>55</v>
      </c>
    </row>
    <row r="8" spans="1:8" ht="21.75" customHeight="1">
      <c r="A8" s="28" t="s">
        <v>72</v>
      </c>
      <c r="B8" s="31"/>
      <c r="C8" s="37">
        <v>42398398</v>
      </c>
      <c r="D8" s="31"/>
      <c r="E8" s="37">
        <v>113875053</v>
      </c>
    </row>
    <row r="9" spans="1:8" ht="21.75" customHeight="1">
      <c r="A9" s="29" t="s">
        <v>91</v>
      </c>
      <c r="B9" s="31"/>
      <c r="C9" s="37">
        <v>3357243</v>
      </c>
      <c r="D9" s="31"/>
      <c r="E9" s="37">
        <v>3357243</v>
      </c>
    </row>
    <row r="10" spans="1:8" ht="21.75" customHeight="1" thickBot="1">
      <c r="A10" s="22"/>
      <c r="B10" s="31"/>
      <c r="C10" s="74">
        <f>SUM(C8:C9)</f>
        <v>45755641</v>
      </c>
      <c r="D10" s="31"/>
      <c r="E10" s="74">
        <f>SUM(E8:E9)</f>
        <v>117232296</v>
      </c>
    </row>
    <row r="11" spans="1:8" ht="13.5" thickTop="1">
      <c r="C11" s="40"/>
    </row>
    <row r="12" spans="1:8">
      <c r="C12" s="40"/>
      <c r="E12" s="40"/>
    </row>
    <row r="13" spans="1:8">
      <c r="C13" s="40"/>
    </row>
    <row r="15" spans="1:8">
      <c r="H15" t="s">
        <v>135</v>
      </c>
    </row>
  </sheetData>
  <mergeCells count="4">
    <mergeCell ref="A5:E5"/>
    <mergeCell ref="A1:E1"/>
    <mergeCell ref="A2:E2"/>
    <mergeCell ref="A3:E3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2"/>
  <sheetViews>
    <sheetView rightToLeft="1" view="pageBreakPreview" zoomScale="112" zoomScaleNormal="100" zoomScaleSheetLayoutView="112" workbookViewId="0">
      <selection activeCell="I23" sqref="I23"/>
    </sheetView>
  </sheetViews>
  <sheetFormatPr defaultRowHeight="12.75"/>
  <cols>
    <col min="1" max="1" width="29.85546875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.140625" bestFit="1" customWidth="1"/>
    <col min="10" max="10" width="1.28515625" customWidth="1"/>
    <col min="11" max="11" width="12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140625" bestFit="1" customWidth="1"/>
    <col min="16" max="16" width="1.28515625" customWidth="1"/>
    <col min="17" max="17" width="17.5703125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ht="14.45" customHeight="1"/>
    <row r="5" spans="1:19" ht="14.45" customHeight="1">
      <c r="A5" s="114" t="s">
        <v>76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14.45" customHeight="1">
      <c r="A6" s="112" t="s">
        <v>38</v>
      </c>
      <c r="C6" s="112" t="s">
        <v>92</v>
      </c>
      <c r="D6" s="112"/>
      <c r="E6" s="112"/>
      <c r="F6" s="112"/>
      <c r="G6" s="112"/>
      <c r="I6" s="112" t="s">
        <v>73</v>
      </c>
      <c r="J6" s="112"/>
      <c r="K6" s="112"/>
      <c r="L6" s="112"/>
      <c r="M6" s="112"/>
      <c r="O6" s="112" t="s">
        <v>74</v>
      </c>
      <c r="P6" s="112"/>
      <c r="Q6" s="112"/>
      <c r="R6" s="112"/>
      <c r="S6" s="112"/>
    </row>
    <row r="7" spans="1:19" ht="29.1" customHeight="1">
      <c r="A7" s="112"/>
      <c r="C7" s="8" t="s">
        <v>93</v>
      </c>
      <c r="D7" s="3"/>
      <c r="E7" s="8" t="s">
        <v>94</v>
      </c>
      <c r="F7" s="3"/>
      <c r="G7" s="8" t="s">
        <v>95</v>
      </c>
      <c r="I7" s="8" t="s">
        <v>96</v>
      </c>
      <c r="J7" s="3"/>
      <c r="K7" s="8" t="s">
        <v>97</v>
      </c>
      <c r="L7" s="3"/>
      <c r="M7" s="8" t="s">
        <v>98</v>
      </c>
      <c r="O7" s="8" t="s">
        <v>96</v>
      </c>
      <c r="P7" s="3"/>
      <c r="Q7" s="8" t="s">
        <v>97</v>
      </c>
      <c r="R7" s="3"/>
      <c r="S7" s="8" t="s">
        <v>98</v>
      </c>
    </row>
    <row r="8" spans="1:19" ht="21.75" customHeight="1">
      <c r="A8" s="35" t="s">
        <v>31</v>
      </c>
      <c r="B8" s="31"/>
      <c r="C8" s="35" t="s">
        <v>177</v>
      </c>
      <c r="D8" s="31"/>
      <c r="E8" s="37">
        <v>392907</v>
      </c>
      <c r="F8" s="31"/>
      <c r="G8" s="37">
        <v>650</v>
      </c>
      <c r="H8" s="9"/>
      <c r="I8" s="43">
        <v>0</v>
      </c>
      <c r="J8" s="23"/>
      <c r="K8" s="43">
        <v>0</v>
      </c>
      <c r="L8" s="23"/>
      <c r="M8" s="43">
        <v>0</v>
      </c>
      <c r="N8" s="23"/>
      <c r="O8" s="50">
        <v>255389550</v>
      </c>
      <c r="P8" s="23"/>
      <c r="Q8" s="43">
        <v>14362567</v>
      </c>
      <c r="R8" s="23"/>
      <c r="S8" s="43">
        <f>O8-Q8</f>
        <v>241026983</v>
      </c>
    </row>
    <row r="9" spans="1:19" ht="21.75" customHeight="1">
      <c r="A9" s="35" t="s">
        <v>155</v>
      </c>
      <c r="B9" s="31"/>
      <c r="C9" s="35" t="s">
        <v>178</v>
      </c>
      <c r="D9" s="31"/>
      <c r="E9" s="37">
        <v>170686</v>
      </c>
      <c r="F9" s="31"/>
      <c r="G9" s="37">
        <v>33000</v>
      </c>
      <c r="H9" s="9"/>
      <c r="I9" s="50">
        <v>5632638000</v>
      </c>
      <c r="J9" s="45"/>
      <c r="K9" s="50">
        <v>34509014</v>
      </c>
      <c r="L9" s="45"/>
      <c r="M9" s="50">
        <f>I9-K9</f>
        <v>5598128986</v>
      </c>
      <c r="N9" s="23"/>
      <c r="O9" s="50">
        <v>5632638000</v>
      </c>
      <c r="P9" s="23"/>
      <c r="Q9" s="43">
        <v>34509014</v>
      </c>
      <c r="R9" s="23"/>
      <c r="S9" s="43">
        <f t="shared" ref="S9:S10" si="0">O9-Q9</f>
        <v>5598128986</v>
      </c>
    </row>
    <row r="10" spans="1:19" ht="21.75" customHeight="1">
      <c r="A10" s="35" t="s">
        <v>19</v>
      </c>
      <c r="B10" s="31"/>
      <c r="C10" s="35" t="s">
        <v>179</v>
      </c>
      <c r="D10" s="31"/>
      <c r="E10" s="37">
        <v>1809644</v>
      </c>
      <c r="F10" s="31"/>
      <c r="G10" s="37">
        <v>5000</v>
      </c>
      <c r="H10" s="9"/>
      <c r="I10" s="43">
        <v>0</v>
      </c>
      <c r="J10" s="23"/>
      <c r="K10" s="43">
        <v>0</v>
      </c>
      <c r="L10" s="23"/>
      <c r="M10" s="43">
        <v>0</v>
      </c>
      <c r="N10" s="23"/>
      <c r="O10" s="50">
        <v>9048220000</v>
      </c>
      <c r="P10" s="23"/>
      <c r="Q10" s="43">
        <v>0</v>
      </c>
      <c r="R10" s="23"/>
      <c r="S10" s="43">
        <f t="shared" si="0"/>
        <v>9048220000</v>
      </c>
    </row>
    <row r="11" spans="1:19" ht="21.75" customHeight="1">
      <c r="A11" s="22"/>
      <c r="B11" s="31"/>
      <c r="C11" s="37"/>
      <c r="D11" s="31"/>
      <c r="E11" s="37"/>
      <c r="F11" s="31"/>
      <c r="G11" s="37"/>
      <c r="H11" s="9"/>
      <c r="I11" s="44">
        <f>SUM(I8:I10)</f>
        <v>5632638000</v>
      </c>
      <c r="J11" s="45"/>
      <c r="K11" s="44">
        <f>SUM(K8:K10)</f>
        <v>34509014</v>
      </c>
      <c r="L11" s="45"/>
      <c r="M11" s="44">
        <f>SUM(M8:M10)</f>
        <v>5598128986</v>
      </c>
      <c r="N11" s="45"/>
      <c r="O11" s="44">
        <f>SUM(O8:O10)</f>
        <v>14936247550</v>
      </c>
      <c r="P11" s="45"/>
      <c r="Q11" s="44">
        <f>SUM(Q8:Q10)</f>
        <v>48871581</v>
      </c>
      <c r="R11" s="45"/>
      <c r="S11" s="44">
        <f>SUM(S8:S10)</f>
        <v>14887375969</v>
      </c>
    </row>
    <row r="12" spans="1:19">
      <c r="I12" s="47"/>
      <c r="O12" s="4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0"/>
  <sheetViews>
    <sheetView rightToLeft="1" view="pageBreakPreview" zoomScale="106" zoomScaleNormal="100" zoomScaleSheetLayoutView="106" workbookViewId="0">
      <selection activeCell="M26" sqref="M2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7" ht="14.45" customHeight="1"/>
    <row r="5" spans="1:17" ht="14.45" customHeight="1">
      <c r="A5" s="114" t="s">
        <v>99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4.45" customHeight="1">
      <c r="A6" s="112" t="s">
        <v>61</v>
      </c>
      <c r="B6" s="9"/>
      <c r="C6" s="118" t="s">
        <v>73</v>
      </c>
      <c r="D6" s="118"/>
      <c r="E6" s="118"/>
      <c r="F6" s="118"/>
      <c r="G6" s="118"/>
      <c r="H6" s="118"/>
      <c r="I6" s="118"/>
      <c r="J6" s="118"/>
      <c r="K6" s="118"/>
      <c r="L6" s="9"/>
      <c r="M6" s="112" t="s">
        <v>74</v>
      </c>
      <c r="N6" s="112"/>
      <c r="O6" s="112"/>
      <c r="P6" s="112"/>
      <c r="Q6" s="112"/>
    </row>
    <row r="7" spans="1:17" ht="29.1" customHeight="1">
      <c r="A7" s="112"/>
      <c r="B7" s="9"/>
      <c r="C7" s="75" t="s">
        <v>48</v>
      </c>
      <c r="D7" s="9"/>
      <c r="E7" s="75" t="s">
        <v>100</v>
      </c>
      <c r="F7" s="9"/>
      <c r="G7" s="75" t="s">
        <v>101</v>
      </c>
      <c r="H7" s="9"/>
      <c r="I7" s="75" t="s">
        <v>97</v>
      </c>
      <c r="J7" s="9"/>
      <c r="K7" s="75" t="s">
        <v>102</v>
      </c>
      <c r="L7" s="9"/>
      <c r="M7" s="46" t="s">
        <v>101</v>
      </c>
      <c r="N7" s="10"/>
      <c r="O7" s="46" t="s">
        <v>97</v>
      </c>
      <c r="P7" s="10"/>
      <c r="Q7" s="46" t="s">
        <v>102</v>
      </c>
    </row>
    <row r="8" spans="1:17" ht="21.75" customHeight="1">
      <c r="A8" s="25" t="s">
        <v>50</v>
      </c>
      <c r="B8" s="9"/>
      <c r="C8" s="25" t="s">
        <v>53</v>
      </c>
      <c r="D8" s="9"/>
      <c r="E8" s="19">
        <v>23</v>
      </c>
      <c r="F8" s="9"/>
      <c r="G8" s="19">
        <v>5432385926</v>
      </c>
      <c r="H8" s="19"/>
      <c r="I8" s="19">
        <v>0</v>
      </c>
      <c r="J8" s="9"/>
      <c r="K8" s="19">
        <f>G8+I8</f>
        <v>5432385926</v>
      </c>
      <c r="L8" s="19"/>
      <c r="M8" s="19">
        <v>10389277250</v>
      </c>
      <c r="N8" s="19"/>
      <c r="O8" s="19">
        <v>0</v>
      </c>
      <c r="P8" s="19"/>
      <c r="Q8" s="19">
        <f>M8+O8</f>
        <v>10389277250</v>
      </c>
    </row>
    <row r="9" spans="1:17" ht="21.75" customHeight="1" thickBot="1">
      <c r="A9" s="22"/>
      <c r="B9" s="31"/>
      <c r="C9" s="37"/>
      <c r="D9" s="31"/>
      <c r="E9" s="37"/>
      <c r="F9" s="9"/>
      <c r="G9" s="11">
        <f>SUM(G8:G8)</f>
        <v>5432385926</v>
      </c>
      <c r="H9" s="9"/>
      <c r="I9" s="11">
        <f>SUM(I8:I8)</f>
        <v>0</v>
      </c>
      <c r="J9" s="9"/>
      <c r="K9" s="11">
        <f>SUM(K8:K8)</f>
        <v>5432385926</v>
      </c>
      <c r="L9" s="9"/>
      <c r="M9" s="11">
        <f>SUM(M8:M8)</f>
        <v>10389277250</v>
      </c>
      <c r="N9" s="9"/>
      <c r="O9" s="11">
        <f>SUM(O8:O8)</f>
        <v>0</v>
      </c>
      <c r="P9" s="9"/>
      <c r="Q9" s="11">
        <f>SUM(Q8:Q8)</f>
        <v>10389277250</v>
      </c>
    </row>
    <row r="10" spans="1:17" ht="13.5" thickTop="1">
      <c r="G10" s="40"/>
      <c r="K10" s="40"/>
      <c r="M10" s="40"/>
      <c r="Q10" s="40"/>
    </row>
  </sheetData>
  <mergeCells count="7">
    <mergeCell ref="A1:Q1"/>
    <mergeCell ref="A2:Q2"/>
    <mergeCell ref="A3:Q3"/>
    <mergeCell ref="A5:Q5"/>
    <mergeCell ref="A6:A7"/>
    <mergeCell ref="M6:Q6"/>
    <mergeCell ref="C6:K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3"/>
  <sheetViews>
    <sheetView rightToLeft="1" view="pageBreakPreview" zoomScale="106" zoomScaleNormal="100" zoomScaleSheetLayoutView="106" workbookViewId="0">
      <selection activeCell="G13" sqref="G13:M1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4.45" customHeight="1"/>
    <row r="5" spans="1:13" ht="14.45" customHeight="1">
      <c r="A5" s="114" t="s">
        <v>103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ht="14.45" customHeight="1">
      <c r="A6" s="112" t="s">
        <v>61</v>
      </c>
      <c r="C6" s="112" t="s">
        <v>73</v>
      </c>
      <c r="D6" s="112"/>
      <c r="E6" s="112"/>
      <c r="F6" s="112"/>
      <c r="G6" s="112"/>
      <c r="I6" s="112" t="s">
        <v>74</v>
      </c>
      <c r="J6" s="112"/>
      <c r="K6" s="112"/>
      <c r="L6" s="112"/>
      <c r="M6" s="112"/>
    </row>
    <row r="7" spans="1:13" ht="29.1" customHeight="1">
      <c r="A7" s="112"/>
      <c r="C7" s="8" t="s">
        <v>101</v>
      </c>
      <c r="D7" s="3"/>
      <c r="E7" s="8" t="s">
        <v>97</v>
      </c>
      <c r="F7" s="3"/>
      <c r="G7" s="8" t="s">
        <v>102</v>
      </c>
      <c r="I7" s="8" t="s">
        <v>101</v>
      </c>
      <c r="J7" s="3"/>
      <c r="K7" s="8" t="s">
        <v>97</v>
      </c>
      <c r="L7" s="3"/>
      <c r="M7" s="8" t="s">
        <v>102</v>
      </c>
    </row>
    <row r="8" spans="1:13" ht="21.75" customHeight="1">
      <c r="A8" s="5" t="s">
        <v>124</v>
      </c>
      <c r="C8" s="34">
        <v>121987</v>
      </c>
      <c r="D8" s="31"/>
      <c r="E8" s="34">
        <v>0</v>
      </c>
      <c r="F8" s="31"/>
      <c r="G8" s="34">
        <v>121987</v>
      </c>
      <c r="H8" s="31"/>
      <c r="I8" s="34">
        <v>240652</v>
      </c>
      <c r="J8" s="31"/>
      <c r="K8" s="34">
        <v>0</v>
      </c>
      <c r="L8" s="31"/>
      <c r="M8" s="37">
        <v>240652</v>
      </c>
    </row>
    <row r="9" spans="1:13" ht="21.75" customHeight="1">
      <c r="A9" s="6" t="s">
        <v>122</v>
      </c>
      <c r="C9" s="37">
        <v>15083</v>
      </c>
      <c r="D9" s="31"/>
      <c r="E9" s="37">
        <v>0</v>
      </c>
      <c r="F9" s="31"/>
      <c r="G9" s="37">
        <v>15083</v>
      </c>
      <c r="H9" s="31"/>
      <c r="I9" s="37">
        <v>946452</v>
      </c>
      <c r="J9" s="31"/>
      <c r="K9" s="37">
        <v>0</v>
      </c>
      <c r="L9" s="31"/>
      <c r="M9" s="37">
        <v>946452</v>
      </c>
    </row>
    <row r="10" spans="1:13" ht="21.75" customHeight="1">
      <c r="A10" s="6" t="s">
        <v>123</v>
      </c>
      <c r="C10" s="38">
        <v>0</v>
      </c>
      <c r="D10" s="31"/>
      <c r="E10" s="38">
        <v>0</v>
      </c>
      <c r="F10" s="31"/>
      <c r="G10" s="37">
        <v>0</v>
      </c>
      <c r="H10" s="31"/>
      <c r="I10" s="38">
        <v>2045</v>
      </c>
      <c r="J10" s="31"/>
      <c r="K10" s="38">
        <v>0</v>
      </c>
      <c r="L10" s="31"/>
      <c r="M10" s="37">
        <v>2045</v>
      </c>
    </row>
    <row r="11" spans="1:13" ht="21.75" customHeight="1">
      <c r="A11" s="22"/>
      <c r="C11" s="39">
        <f>SUM(C8:C10)</f>
        <v>137070</v>
      </c>
      <c r="D11" s="31"/>
      <c r="E11" s="39">
        <f>SUM(E8:E10)</f>
        <v>0</v>
      </c>
      <c r="F11" s="31"/>
      <c r="G11" s="39">
        <f>SUM(G8:G10)</f>
        <v>137070</v>
      </c>
      <c r="H11" s="31"/>
      <c r="I11" s="39">
        <f>SUM(I8:I10)</f>
        <v>1189149</v>
      </c>
      <c r="J11" s="31"/>
      <c r="K11" s="39">
        <f>SUM(K8:K10)</f>
        <v>0</v>
      </c>
      <c r="L11" s="31"/>
      <c r="M11" s="39">
        <f>SUM(M8:M10)</f>
        <v>1189149</v>
      </c>
    </row>
    <row r="12" spans="1:13">
      <c r="G12" s="40"/>
      <c r="M12" s="40"/>
    </row>
    <row r="13" spans="1:13">
      <c r="C13" s="40"/>
      <c r="G13" s="40"/>
      <c r="I13" s="40"/>
      <c r="M13" s="4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R20"/>
  <sheetViews>
    <sheetView rightToLeft="1" view="pageBreakPreview" zoomScaleNormal="100" zoomScaleSheetLayoutView="100" workbookViewId="0">
      <selection activeCell="Q12" sqref="G12:Q14"/>
    </sheetView>
  </sheetViews>
  <sheetFormatPr defaultRowHeight="18.75"/>
  <cols>
    <col min="1" max="1" width="29.85546875" style="9" bestFit="1" customWidth="1"/>
    <col min="2" max="2" width="1.28515625" style="9" customWidth="1"/>
    <col min="3" max="3" width="11.7109375" style="9" bestFit="1" customWidth="1"/>
    <col min="4" max="4" width="1.28515625" style="9" customWidth="1"/>
    <col min="5" max="5" width="16.7109375" style="9" bestFit="1" customWidth="1"/>
    <col min="6" max="6" width="1.28515625" style="9" customWidth="1"/>
    <col min="7" max="7" width="16.7109375" style="9" bestFit="1" customWidth="1"/>
    <col min="8" max="8" width="1.28515625" style="9" customWidth="1"/>
    <col min="9" max="9" width="22" style="9" bestFit="1" customWidth="1"/>
    <col min="10" max="10" width="1.28515625" style="9" customWidth="1"/>
    <col min="11" max="11" width="14.42578125" style="9" bestFit="1" customWidth="1"/>
    <col min="12" max="12" width="1.28515625" style="9" customWidth="1"/>
    <col min="13" max="13" width="18.5703125" style="9" bestFit="1" customWidth="1"/>
    <col min="14" max="14" width="1.28515625" style="9" customWidth="1"/>
    <col min="15" max="15" width="18.42578125" style="9" bestFit="1" customWidth="1"/>
    <col min="16" max="16" width="1.28515625" style="9" customWidth="1"/>
    <col min="17" max="17" width="22" style="9" bestFit="1" customWidth="1"/>
    <col min="18" max="18" width="17.28515625" style="24" bestFit="1" customWidth="1"/>
    <col min="19" max="16384" width="9.140625" style="9"/>
  </cols>
  <sheetData>
    <row r="1" spans="1:18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8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8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8" ht="14.45" customHeight="1"/>
    <row r="5" spans="1:18" ht="14.45" customHeight="1">
      <c r="A5" s="114" t="s">
        <v>104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8" ht="14.45" customHeight="1">
      <c r="A6" s="112" t="s">
        <v>61</v>
      </c>
      <c r="C6" s="112" t="s">
        <v>73</v>
      </c>
      <c r="D6" s="112"/>
      <c r="E6" s="112"/>
      <c r="F6" s="112"/>
      <c r="G6" s="112"/>
      <c r="H6" s="112"/>
      <c r="I6" s="112"/>
      <c r="K6" s="112" t="s">
        <v>74</v>
      </c>
      <c r="L6" s="112"/>
      <c r="M6" s="112"/>
      <c r="N6" s="112"/>
      <c r="O6" s="112"/>
      <c r="P6" s="112"/>
      <c r="Q6" s="112"/>
    </row>
    <row r="7" spans="1:18" ht="29.1" customHeight="1">
      <c r="A7" s="112"/>
      <c r="C7" s="8" t="s">
        <v>6</v>
      </c>
      <c r="D7" s="10"/>
      <c r="E7" s="8" t="s">
        <v>105</v>
      </c>
      <c r="F7" s="10"/>
      <c r="G7" s="8" t="s">
        <v>106</v>
      </c>
      <c r="H7" s="10"/>
      <c r="I7" s="8" t="s">
        <v>107</v>
      </c>
      <c r="K7" s="8" t="s">
        <v>6</v>
      </c>
      <c r="L7" s="10"/>
      <c r="M7" s="8" t="s">
        <v>105</v>
      </c>
      <c r="N7" s="10"/>
      <c r="O7" s="8" t="s">
        <v>106</v>
      </c>
      <c r="P7" s="10"/>
      <c r="Q7" s="8" t="s">
        <v>107</v>
      </c>
    </row>
    <row r="8" spans="1:18">
      <c r="A8" s="6" t="s">
        <v>20</v>
      </c>
      <c r="C8" s="80">
        <v>1</v>
      </c>
      <c r="D8" s="80"/>
      <c r="E8" s="80">
        <v>1</v>
      </c>
      <c r="F8" s="80"/>
      <c r="G8" s="80">
        <v>10041</v>
      </c>
      <c r="H8" s="80"/>
      <c r="I8" s="80">
        <f>E8-G8</f>
        <v>-10040</v>
      </c>
      <c r="J8" s="80"/>
      <c r="K8" s="80">
        <v>1</v>
      </c>
      <c r="L8" s="80"/>
      <c r="M8" s="80">
        <v>1</v>
      </c>
      <c r="N8" s="80"/>
      <c r="O8" s="80">
        <v>10041</v>
      </c>
      <c r="P8" s="80"/>
      <c r="Q8" s="80">
        <f>M8-O8</f>
        <v>-10040</v>
      </c>
      <c r="R8" s="50"/>
    </row>
    <row r="9" spans="1:18">
      <c r="A9" s="6" t="s">
        <v>13</v>
      </c>
      <c r="B9"/>
      <c r="C9" s="80">
        <v>1</v>
      </c>
      <c r="D9" s="80"/>
      <c r="E9" s="80">
        <v>1</v>
      </c>
      <c r="F9" s="80"/>
      <c r="G9" s="80">
        <v>12931</v>
      </c>
      <c r="H9" s="80"/>
      <c r="I9" s="80">
        <f t="shared" ref="I9:I10" si="0">E9-G9</f>
        <v>-12930</v>
      </c>
      <c r="J9" s="80"/>
      <c r="K9" s="80">
        <v>1</v>
      </c>
      <c r="L9" s="80"/>
      <c r="M9" s="80">
        <v>1</v>
      </c>
      <c r="N9" s="80"/>
      <c r="O9" s="80">
        <v>12931</v>
      </c>
      <c r="P9" s="80"/>
      <c r="Q9" s="80">
        <f t="shared" ref="Q9:Q10" si="1">M9-O9</f>
        <v>-12930</v>
      </c>
      <c r="R9" s="50"/>
    </row>
    <row r="10" spans="1:18">
      <c r="A10" s="6" t="s">
        <v>50</v>
      </c>
      <c r="B10"/>
      <c r="C10" s="80">
        <v>26700</v>
      </c>
      <c r="D10" s="80"/>
      <c r="E10" s="80">
        <v>26685481875</v>
      </c>
      <c r="F10" s="80"/>
      <c r="G10" s="80">
        <v>26672530967</v>
      </c>
      <c r="H10" s="80"/>
      <c r="I10" s="80">
        <f t="shared" si="0"/>
        <v>12950908</v>
      </c>
      <c r="J10" s="80"/>
      <c r="K10" s="80">
        <v>26700</v>
      </c>
      <c r="L10" s="80"/>
      <c r="M10" s="80">
        <v>26685481875</v>
      </c>
      <c r="N10" s="80"/>
      <c r="O10" s="80">
        <v>26672530967</v>
      </c>
      <c r="P10" s="80"/>
      <c r="Q10" s="80">
        <f t="shared" si="1"/>
        <v>12950908</v>
      </c>
      <c r="R10" s="50"/>
    </row>
    <row r="11" spans="1:18" ht="19.5" thickBot="1">
      <c r="C11" s="80"/>
      <c r="D11" s="97"/>
      <c r="E11" s="101">
        <f>SUM(E8:E10)</f>
        <v>26685481877</v>
      </c>
      <c r="F11" s="97"/>
      <c r="G11" s="101">
        <f>SUM(G8:G10)</f>
        <v>26672553939</v>
      </c>
      <c r="H11" s="97"/>
      <c r="I11" s="101">
        <f>SUM(I8:I10)</f>
        <v>12927938</v>
      </c>
      <c r="J11" s="97"/>
      <c r="K11" s="80"/>
      <c r="L11" s="97"/>
      <c r="M11" s="101">
        <f>SUM(M8:M10)</f>
        <v>26685481877</v>
      </c>
      <c r="N11" s="97"/>
      <c r="O11" s="101">
        <f>SUM(O8:O10)</f>
        <v>26672553939</v>
      </c>
      <c r="P11" s="97"/>
      <c r="Q11" s="101">
        <f>SUM(Q8:Q10)</f>
        <v>12927938</v>
      </c>
    </row>
    <row r="12" spans="1:18" ht="19.5" thickTop="1">
      <c r="I12" s="23"/>
      <c r="Q12" s="23"/>
    </row>
    <row r="13" spans="1:18">
      <c r="I13" s="69"/>
      <c r="Q13" s="69"/>
    </row>
    <row r="14" spans="1:18">
      <c r="I14" s="23"/>
      <c r="Q14" s="69"/>
    </row>
    <row r="15" spans="1:18">
      <c r="Q15" s="69"/>
    </row>
    <row r="16" spans="1:18">
      <c r="Q16" s="69"/>
    </row>
    <row r="20" spans="7:7">
      <c r="G20" s="2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370078740157483" right="0.39370078740157483" top="0.39370078740157483" bottom="0.39370078740157483" header="0" footer="0"/>
  <pageSetup scale="3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9"/>
  <sheetViews>
    <sheetView rightToLeft="1" view="pageBreakPreview" zoomScale="96" zoomScaleNormal="100" zoomScaleSheetLayoutView="96" workbookViewId="0">
      <selection activeCell="A9" sqref="A9"/>
    </sheetView>
  </sheetViews>
  <sheetFormatPr defaultRowHeight="12.75"/>
  <cols>
    <col min="1" max="1" width="44" bestFit="1" customWidth="1"/>
    <col min="2" max="2" width="11" bestFit="1" customWidth="1"/>
    <col min="3" max="3" width="1.28515625" customWidth="1"/>
    <col min="4" max="4" width="14.28515625" bestFit="1" customWidth="1"/>
    <col min="5" max="5" width="1.28515625" customWidth="1"/>
    <col min="6" max="6" width="11.42578125" bestFit="1" customWidth="1"/>
    <col min="7" max="7" width="1.28515625" customWidth="1"/>
    <col min="8" max="8" width="11.42578125" bestFit="1" customWidth="1"/>
    <col min="9" max="9" width="1.28515625" customWidth="1"/>
    <col min="10" max="10" width="15.7109375" bestFit="1" customWidth="1"/>
    <col min="11" max="11" width="1.28515625" customWidth="1"/>
    <col min="12" max="12" width="16.85546875" bestFit="1" customWidth="1"/>
    <col min="13" max="13" width="0.28515625" customWidth="1"/>
  </cols>
  <sheetData>
    <row r="1" spans="1:12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7.35" customHeight="1"/>
    <row r="5" spans="1:12" ht="14.45" customHeight="1">
      <c r="A5" s="26" t="s">
        <v>108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7.35" customHeight="1"/>
    <row r="7" spans="1:12" ht="14.45" customHeight="1">
      <c r="B7" s="112" t="s">
        <v>73</v>
      </c>
      <c r="C7" s="112"/>
      <c r="D7" s="112"/>
      <c r="E7" s="112"/>
      <c r="F7" s="112"/>
      <c r="G7" s="112"/>
      <c r="H7" s="112"/>
      <c r="I7" s="112"/>
      <c r="J7" s="112"/>
      <c r="L7" s="2" t="s">
        <v>74</v>
      </c>
    </row>
    <row r="8" spans="1:12" ht="29.1" customHeight="1">
      <c r="A8" s="2" t="s">
        <v>109</v>
      </c>
      <c r="B8" s="8" t="s">
        <v>40</v>
      </c>
      <c r="C8" s="3"/>
      <c r="D8" s="8" t="s">
        <v>6</v>
      </c>
      <c r="E8" s="3"/>
      <c r="F8" s="8" t="s">
        <v>110</v>
      </c>
      <c r="G8" s="3"/>
      <c r="H8" s="8" t="s">
        <v>111</v>
      </c>
      <c r="I8" s="3"/>
      <c r="J8" s="8" t="s">
        <v>112</v>
      </c>
      <c r="L8" s="8" t="s">
        <v>112</v>
      </c>
    </row>
    <row r="9" spans="1:12" ht="21.75" customHeight="1">
      <c r="A9" s="25" t="s">
        <v>147</v>
      </c>
      <c r="B9" s="24" t="s">
        <v>143</v>
      </c>
      <c r="C9" s="24"/>
      <c r="D9" s="24">
        <v>0</v>
      </c>
      <c r="E9">
        <v>0</v>
      </c>
      <c r="F9" s="24">
        <v>0</v>
      </c>
      <c r="G9" s="24">
        <v>0</v>
      </c>
      <c r="H9" s="24">
        <v>0</v>
      </c>
      <c r="I9">
        <v>0</v>
      </c>
      <c r="J9" s="24">
        <v>860979948</v>
      </c>
      <c r="K9" s="24"/>
      <c r="L9" s="24">
        <v>860979948</v>
      </c>
    </row>
    <row r="10" spans="1:12" ht="21.75" customHeight="1" thickBot="1">
      <c r="D10" s="48">
        <f>SUM(D9:D9)</f>
        <v>0</v>
      </c>
      <c r="F10" s="48">
        <f>SUM(F9:F9)</f>
        <v>0</v>
      </c>
      <c r="H10" s="48">
        <f>SUM(H9:H9)</f>
        <v>0</v>
      </c>
      <c r="J10" s="48">
        <f>SUM(J9:J9)</f>
        <v>860979948</v>
      </c>
      <c r="L10" s="48">
        <f>SUM(L9:L9)</f>
        <v>860979948</v>
      </c>
    </row>
    <row r="11" spans="1:12" ht="21.75" customHeight="1" thickTop="1"/>
    <row r="12" spans="1:12" ht="21.75" customHeight="1"/>
    <row r="13" spans="1:12" ht="21.75" customHeight="1"/>
    <row r="14" spans="1:12" ht="21.75" customHeight="1"/>
    <row r="15" spans="1:12" ht="21.75" customHeight="1"/>
    <row r="16" spans="1:12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</sheetData>
  <mergeCells count="4">
    <mergeCell ref="B7:J7"/>
    <mergeCell ref="A1:L1"/>
    <mergeCell ref="A2:L2"/>
    <mergeCell ref="A3:L3"/>
  </mergeCells>
  <conditionalFormatting sqref="A1:A1048576">
    <cfRule type="duplicateValues" dxfId="5" priority="6"/>
  </conditionalFormatting>
  <conditionalFormatting sqref="D10">
    <cfRule type="duplicateValues" dxfId="4" priority="1"/>
  </conditionalFormatting>
  <conditionalFormatting sqref="F10">
    <cfRule type="duplicateValues" dxfId="3" priority="2"/>
  </conditionalFormatting>
  <conditionalFormatting sqref="H10">
    <cfRule type="duplicateValues" dxfId="2" priority="3"/>
  </conditionalFormatting>
  <conditionalFormatting sqref="J10">
    <cfRule type="duplicateValues" dxfId="1" priority="4"/>
  </conditionalFormatting>
  <conditionalFormatting sqref="L10:L1048576 L1:L8">
    <cfRule type="duplicateValues" dxfId="0" priority="5"/>
  </conditionalFormatting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48"/>
  <sheetViews>
    <sheetView rightToLeft="1" view="pageBreakPreview" topLeftCell="A40" zoomScaleNormal="100" zoomScaleSheetLayoutView="100" workbookViewId="0">
      <selection activeCell="Q42" sqref="Q42"/>
    </sheetView>
  </sheetViews>
  <sheetFormatPr defaultRowHeight="12.75"/>
  <cols>
    <col min="1" max="1" width="29.7109375" bestFit="1" customWidth="1"/>
    <col min="2" max="2" width="1.28515625" customWidth="1"/>
    <col min="3" max="3" width="12.85546875" bestFit="1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26.28515625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5.42578125" bestFit="1" customWidth="1"/>
    <col min="19" max="19" width="14.42578125" bestFit="1" customWidth="1"/>
  </cols>
  <sheetData>
    <row r="1" spans="1:19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9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9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9" ht="14.45" customHeight="1"/>
    <row r="5" spans="1:19" ht="14.45" customHeight="1">
      <c r="A5" s="114" t="s">
        <v>113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9" ht="14.45" customHeight="1">
      <c r="A6" s="112" t="s">
        <v>61</v>
      </c>
      <c r="C6" s="112" t="s">
        <v>73</v>
      </c>
      <c r="D6" s="112"/>
      <c r="E6" s="112"/>
      <c r="F6" s="112"/>
      <c r="G6" s="112"/>
      <c r="H6" s="112"/>
      <c r="I6" s="112"/>
      <c r="K6" s="112" t="s">
        <v>74</v>
      </c>
      <c r="L6" s="112"/>
      <c r="M6" s="112"/>
      <c r="N6" s="112"/>
      <c r="O6" s="112"/>
      <c r="P6" s="112"/>
      <c r="Q6" s="112"/>
    </row>
    <row r="7" spans="1:19" ht="29.1" customHeight="1">
      <c r="A7" s="112"/>
      <c r="C7" s="8" t="s">
        <v>6</v>
      </c>
      <c r="D7" s="3"/>
      <c r="E7" s="8" t="s">
        <v>8</v>
      </c>
      <c r="F7" s="3"/>
      <c r="G7" s="8" t="s">
        <v>106</v>
      </c>
      <c r="H7" s="3"/>
      <c r="I7" s="8" t="s">
        <v>114</v>
      </c>
      <c r="K7" s="8" t="s">
        <v>6</v>
      </c>
      <c r="L7" s="3"/>
      <c r="M7" s="8" t="s">
        <v>8</v>
      </c>
      <c r="N7" s="3"/>
      <c r="O7" s="8" t="s">
        <v>106</v>
      </c>
      <c r="P7" s="3"/>
      <c r="Q7" s="8" t="s">
        <v>114</v>
      </c>
    </row>
    <row r="8" spans="1:19" ht="21.75" customHeight="1">
      <c r="A8" s="5" t="s">
        <v>25</v>
      </c>
      <c r="C8" s="49">
        <v>198243</v>
      </c>
      <c r="D8" s="45"/>
      <c r="E8" s="49">
        <v>5961117465</v>
      </c>
      <c r="F8" s="45"/>
      <c r="G8" s="49">
        <v>7451396831</v>
      </c>
      <c r="H8" s="45"/>
      <c r="I8" s="50">
        <v>-1490279366</v>
      </c>
      <c r="J8" s="45"/>
      <c r="K8" s="49">
        <v>198243</v>
      </c>
      <c r="L8" s="45"/>
      <c r="M8" s="49">
        <v>5961117465</v>
      </c>
      <c r="N8" s="45"/>
      <c r="O8" s="49">
        <v>7451396831</v>
      </c>
      <c r="P8" s="45"/>
      <c r="Q8" s="50">
        <f>M8-O8</f>
        <v>-1490279366</v>
      </c>
      <c r="R8" s="47"/>
      <c r="S8" s="47"/>
    </row>
    <row r="9" spans="1:19" ht="21.75" customHeight="1">
      <c r="A9" s="6" t="s">
        <v>30</v>
      </c>
      <c r="C9" s="50">
        <v>8628591</v>
      </c>
      <c r="D9" s="45"/>
      <c r="E9" s="50">
        <v>19829341852</v>
      </c>
      <c r="F9" s="45"/>
      <c r="G9" s="50">
        <v>24058916496</v>
      </c>
      <c r="H9" s="45"/>
      <c r="I9" s="50">
        <v>-4229574644</v>
      </c>
      <c r="J9" s="45"/>
      <c r="K9" s="50">
        <v>8628591</v>
      </c>
      <c r="L9" s="45"/>
      <c r="M9" s="50">
        <v>19829341852</v>
      </c>
      <c r="N9" s="45"/>
      <c r="O9" s="50">
        <v>24058916496</v>
      </c>
      <c r="P9" s="45"/>
      <c r="Q9" s="50">
        <f t="shared" ref="Q9:Q40" si="0">M9-O9</f>
        <v>-4229574644</v>
      </c>
      <c r="R9" s="47"/>
      <c r="S9" s="47"/>
    </row>
    <row r="10" spans="1:19" ht="21.75" customHeight="1">
      <c r="A10" s="6" t="s">
        <v>18</v>
      </c>
      <c r="C10" s="50">
        <v>1019446</v>
      </c>
      <c r="D10" s="45"/>
      <c r="E10" s="50">
        <v>43002668725</v>
      </c>
      <c r="F10" s="45"/>
      <c r="G10" s="50">
        <v>61432383893</v>
      </c>
      <c r="H10" s="45"/>
      <c r="I10" s="50">
        <v>-18429715168</v>
      </c>
      <c r="J10" s="45"/>
      <c r="K10" s="50">
        <v>1019446</v>
      </c>
      <c r="L10" s="45"/>
      <c r="M10" s="50">
        <v>43002668725</v>
      </c>
      <c r="N10" s="45"/>
      <c r="O10" s="50">
        <v>61432383893</v>
      </c>
      <c r="P10" s="45"/>
      <c r="Q10" s="50">
        <f t="shared" si="0"/>
        <v>-18429715168</v>
      </c>
      <c r="R10" s="47"/>
      <c r="S10" s="47"/>
    </row>
    <row r="11" spans="1:19" ht="21.75" customHeight="1">
      <c r="A11" s="6" t="s">
        <v>23</v>
      </c>
      <c r="C11" s="50">
        <v>375619</v>
      </c>
      <c r="D11" s="45"/>
      <c r="E11" s="50">
        <v>1243378791</v>
      </c>
      <c r="F11" s="45"/>
      <c r="G11" s="50">
        <v>1549378188</v>
      </c>
      <c r="H11" s="45"/>
      <c r="I11" s="50">
        <v>-305999397</v>
      </c>
      <c r="J11" s="45"/>
      <c r="K11" s="50">
        <v>375619</v>
      </c>
      <c r="L11" s="45"/>
      <c r="M11" s="50">
        <v>1243378791</v>
      </c>
      <c r="N11" s="45"/>
      <c r="O11" s="50">
        <v>1549378188</v>
      </c>
      <c r="P11" s="45"/>
      <c r="Q11" s="50">
        <f t="shared" si="0"/>
        <v>-305999397</v>
      </c>
      <c r="R11" s="47"/>
      <c r="S11" s="47"/>
    </row>
    <row r="12" spans="1:19" ht="21.75" customHeight="1">
      <c r="A12" s="6" t="s">
        <v>34</v>
      </c>
      <c r="C12" s="50">
        <v>1043418</v>
      </c>
      <c r="D12" s="45"/>
      <c r="E12" s="50">
        <v>10568877083</v>
      </c>
      <c r="F12" s="45"/>
      <c r="G12" s="50">
        <v>12724480736</v>
      </c>
      <c r="H12" s="45"/>
      <c r="I12" s="50">
        <v>-2155603653</v>
      </c>
      <c r="J12" s="45"/>
      <c r="K12" s="50">
        <v>1043418</v>
      </c>
      <c r="L12" s="45"/>
      <c r="M12" s="50">
        <v>10568877083</v>
      </c>
      <c r="N12" s="45"/>
      <c r="O12" s="50">
        <v>12724480736</v>
      </c>
      <c r="P12" s="45"/>
      <c r="Q12" s="50">
        <f t="shared" si="0"/>
        <v>-2155603653</v>
      </c>
      <c r="R12" s="47"/>
      <c r="S12" s="47"/>
    </row>
    <row r="13" spans="1:19" ht="21.75" customHeight="1">
      <c r="A13" s="6" t="s">
        <v>15</v>
      </c>
      <c r="C13" s="50">
        <v>2983927</v>
      </c>
      <c r="D13" s="45"/>
      <c r="E13" s="50">
        <v>8518397799</v>
      </c>
      <c r="F13" s="45"/>
      <c r="G13" s="50">
        <v>12169139714</v>
      </c>
      <c r="H13" s="45"/>
      <c r="I13" s="50">
        <v>-3650741915</v>
      </c>
      <c r="J13" s="45"/>
      <c r="K13" s="50">
        <v>2983927</v>
      </c>
      <c r="L13" s="45"/>
      <c r="M13" s="50">
        <v>8518397799</v>
      </c>
      <c r="N13" s="45"/>
      <c r="O13" s="50">
        <v>12169139714</v>
      </c>
      <c r="P13" s="45"/>
      <c r="Q13" s="50">
        <f t="shared" si="0"/>
        <v>-3650741915</v>
      </c>
      <c r="R13" s="47"/>
      <c r="S13" s="47"/>
    </row>
    <row r="14" spans="1:19" ht="21.75" customHeight="1">
      <c r="A14" s="6" t="s">
        <v>17</v>
      </c>
      <c r="C14" s="50">
        <v>138131</v>
      </c>
      <c r="D14" s="45"/>
      <c r="E14" s="50">
        <v>8224617221</v>
      </c>
      <c r="F14" s="45"/>
      <c r="G14" s="50">
        <v>13707695369</v>
      </c>
      <c r="H14" s="45"/>
      <c r="I14" s="50">
        <v>-5483078148</v>
      </c>
      <c r="J14" s="45"/>
      <c r="K14" s="50">
        <v>138131</v>
      </c>
      <c r="L14" s="45"/>
      <c r="M14" s="50">
        <v>8224617221</v>
      </c>
      <c r="N14" s="45"/>
      <c r="O14" s="50">
        <v>13707695369</v>
      </c>
      <c r="P14" s="45"/>
      <c r="Q14" s="50">
        <f t="shared" si="0"/>
        <v>-5483078148</v>
      </c>
      <c r="R14" s="47"/>
      <c r="S14" s="47"/>
    </row>
    <row r="15" spans="1:19" ht="21.75" customHeight="1">
      <c r="A15" s="6" t="s">
        <v>157</v>
      </c>
      <c r="C15" s="50">
        <v>2573729</v>
      </c>
      <c r="D15" s="45"/>
      <c r="E15" s="50">
        <v>27504792985</v>
      </c>
      <c r="F15" s="45"/>
      <c r="G15" s="50">
        <v>26675019271</v>
      </c>
      <c r="H15" s="45"/>
      <c r="I15" s="50">
        <v>829773714</v>
      </c>
      <c r="J15" s="45"/>
      <c r="K15" s="50">
        <v>2573729</v>
      </c>
      <c r="L15" s="45"/>
      <c r="M15" s="50">
        <v>27504792985</v>
      </c>
      <c r="N15" s="45"/>
      <c r="O15" s="50">
        <v>26675019271</v>
      </c>
      <c r="P15" s="45"/>
      <c r="Q15" s="50">
        <f t="shared" si="0"/>
        <v>829773714</v>
      </c>
      <c r="R15" s="47"/>
      <c r="S15" s="47"/>
    </row>
    <row r="16" spans="1:19" ht="21.75" customHeight="1">
      <c r="A16" s="6" t="s">
        <v>35</v>
      </c>
      <c r="C16" s="50">
        <v>1761676</v>
      </c>
      <c r="D16" s="45"/>
      <c r="E16" s="50">
        <v>8348726175</v>
      </c>
      <c r="F16" s="45"/>
      <c r="G16" s="50">
        <v>10855441698</v>
      </c>
      <c r="H16" s="45"/>
      <c r="I16" s="50">
        <v>-2506715523</v>
      </c>
      <c r="J16" s="45"/>
      <c r="K16" s="50">
        <v>1761676</v>
      </c>
      <c r="L16" s="45"/>
      <c r="M16" s="50">
        <v>8348726175</v>
      </c>
      <c r="N16" s="45"/>
      <c r="O16" s="50">
        <v>10855441698</v>
      </c>
      <c r="P16" s="45"/>
      <c r="Q16" s="50">
        <f t="shared" si="0"/>
        <v>-2506715523</v>
      </c>
      <c r="R16" s="47"/>
      <c r="S16" s="47"/>
    </row>
    <row r="17" spans="1:19" ht="21.75" customHeight="1">
      <c r="A17" s="6" t="s">
        <v>32</v>
      </c>
      <c r="C17" s="50">
        <v>1200000</v>
      </c>
      <c r="D17" s="45"/>
      <c r="E17" s="50">
        <v>18899171328</v>
      </c>
      <c r="F17" s="45"/>
      <c r="G17" s="50">
        <v>20766226560</v>
      </c>
      <c r="H17" s="45"/>
      <c r="I17" s="50">
        <v>-1867055232</v>
      </c>
      <c r="J17" s="45"/>
      <c r="K17" s="50">
        <v>1200000</v>
      </c>
      <c r="L17" s="45"/>
      <c r="M17" s="50">
        <v>18899171328</v>
      </c>
      <c r="N17" s="45"/>
      <c r="O17" s="50">
        <v>20766226560</v>
      </c>
      <c r="P17" s="45"/>
      <c r="Q17" s="50">
        <f t="shared" si="0"/>
        <v>-1867055232</v>
      </c>
      <c r="R17" s="47"/>
      <c r="S17" s="47"/>
    </row>
    <row r="18" spans="1:19" ht="21.75" customHeight="1">
      <c r="A18" s="6" t="s">
        <v>29</v>
      </c>
      <c r="C18" s="50">
        <v>11329785</v>
      </c>
      <c r="D18" s="45"/>
      <c r="E18" s="50">
        <v>212556384341</v>
      </c>
      <c r="F18" s="45"/>
      <c r="G18" s="50">
        <v>303651977630</v>
      </c>
      <c r="H18" s="45"/>
      <c r="I18" s="50">
        <v>-91095593289</v>
      </c>
      <c r="J18" s="45"/>
      <c r="K18" s="50">
        <v>11329785</v>
      </c>
      <c r="L18" s="45"/>
      <c r="M18" s="50">
        <v>212556384341</v>
      </c>
      <c r="N18" s="45"/>
      <c r="O18" s="50">
        <v>303651977630</v>
      </c>
      <c r="P18" s="45"/>
      <c r="Q18" s="50">
        <f t="shared" si="0"/>
        <v>-91095593289</v>
      </c>
      <c r="R18" s="47"/>
      <c r="S18" s="47"/>
    </row>
    <row r="19" spans="1:19" ht="21.75" customHeight="1">
      <c r="A19" s="6" t="s">
        <v>136</v>
      </c>
      <c r="C19" s="50">
        <v>326585</v>
      </c>
      <c r="D19" s="45"/>
      <c r="E19" s="50">
        <v>9614874974</v>
      </c>
      <c r="F19" s="45"/>
      <c r="G19" s="50">
        <v>16024791623</v>
      </c>
      <c r="H19" s="45"/>
      <c r="I19" s="50">
        <v>-6409916649</v>
      </c>
      <c r="J19" s="45"/>
      <c r="K19" s="50">
        <v>326585</v>
      </c>
      <c r="L19" s="45"/>
      <c r="M19" s="50">
        <v>9614874974</v>
      </c>
      <c r="N19" s="45"/>
      <c r="O19" s="50">
        <v>16024791623</v>
      </c>
      <c r="P19" s="45"/>
      <c r="Q19" s="50">
        <f t="shared" si="0"/>
        <v>-6409916649</v>
      </c>
      <c r="R19" s="47"/>
      <c r="S19" s="47"/>
    </row>
    <row r="20" spans="1:19" ht="21.75" customHeight="1">
      <c r="A20" s="6" t="s">
        <v>13</v>
      </c>
      <c r="C20" s="50">
        <v>23692687</v>
      </c>
      <c r="D20" s="45"/>
      <c r="E20" s="50">
        <v>214463450771</v>
      </c>
      <c r="F20" s="45"/>
      <c r="G20" s="50">
        <v>306376358244</v>
      </c>
      <c r="H20" s="45"/>
      <c r="I20" s="50">
        <v>-91912907473</v>
      </c>
      <c r="J20" s="45"/>
      <c r="K20" s="50">
        <v>23692687</v>
      </c>
      <c r="L20" s="45"/>
      <c r="M20" s="50">
        <v>214463450771</v>
      </c>
      <c r="N20" s="45"/>
      <c r="O20" s="50">
        <v>306376358244</v>
      </c>
      <c r="P20" s="45"/>
      <c r="Q20" s="50">
        <f t="shared" si="0"/>
        <v>-91912907473</v>
      </c>
      <c r="R20" s="47"/>
      <c r="S20" s="47"/>
    </row>
    <row r="21" spans="1:19" ht="21.75" customHeight="1">
      <c r="A21" s="6" t="s">
        <v>26</v>
      </c>
      <c r="C21" s="50">
        <v>51198068</v>
      </c>
      <c r="D21" s="45"/>
      <c r="E21" s="50">
        <v>320054533686</v>
      </c>
      <c r="F21" s="45"/>
      <c r="G21" s="50">
        <v>533424222811</v>
      </c>
      <c r="H21" s="45"/>
      <c r="I21" s="50">
        <v>-213369689125</v>
      </c>
      <c r="J21" s="45"/>
      <c r="K21" s="50">
        <v>51198068</v>
      </c>
      <c r="L21" s="45"/>
      <c r="M21" s="50">
        <v>320054533686</v>
      </c>
      <c r="N21" s="45"/>
      <c r="O21" s="50">
        <v>533424222811</v>
      </c>
      <c r="P21" s="45"/>
      <c r="Q21" s="50">
        <f t="shared" si="0"/>
        <v>-213369689125</v>
      </c>
      <c r="R21" s="47"/>
      <c r="S21" s="47"/>
    </row>
    <row r="22" spans="1:19" ht="21.75" customHeight="1">
      <c r="A22" s="6" t="s">
        <v>24</v>
      </c>
      <c r="C22" s="50">
        <v>6026569</v>
      </c>
      <c r="D22" s="45"/>
      <c r="E22" s="50">
        <v>90752231441</v>
      </c>
      <c r="F22" s="45"/>
      <c r="G22" s="50">
        <v>113440289302</v>
      </c>
      <c r="H22" s="45"/>
      <c r="I22" s="50">
        <v>-22688057861</v>
      </c>
      <c r="J22" s="45"/>
      <c r="K22" s="50">
        <v>6026569</v>
      </c>
      <c r="L22" s="45"/>
      <c r="M22" s="50">
        <v>90752231441</v>
      </c>
      <c r="N22" s="45"/>
      <c r="O22" s="50">
        <v>113440289302</v>
      </c>
      <c r="P22" s="45"/>
      <c r="Q22" s="50">
        <f t="shared" si="0"/>
        <v>-22688057861</v>
      </c>
      <c r="R22" s="47"/>
      <c r="S22" s="47"/>
    </row>
    <row r="23" spans="1:19" ht="21.75" customHeight="1">
      <c r="A23" s="6" t="s">
        <v>20</v>
      </c>
      <c r="C23" s="50">
        <v>6054099</v>
      </c>
      <c r="D23" s="45"/>
      <c r="E23" s="50">
        <v>46616654322</v>
      </c>
      <c r="F23" s="45"/>
      <c r="G23" s="50">
        <v>60793884245</v>
      </c>
      <c r="H23" s="45"/>
      <c r="I23" s="50">
        <v>-14177229923</v>
      </c>
      <c r="J23" s="45"/>
      <c r="K23" s="50">
        <v>6054099</v>
      </c>
      <c r="L23" s="45"/>
      <c r="M23" s="50">
        <v>46616654322</v>
      </c>
      <c r="N23" s="45"/>
      <c r="O23" s="50">
        <v>60793884245</v>
      </c>
      <c r="P23" s="45"/>
      <c r="Q23" s="50">
        <f t="shared" si="0"/>
        <v>-14177229923</v>
      </c>
      <c r="R23" s="47"/>
      <c r="S23" s="47"/>
    </row>
    <row r="24" spans="1:19" ht="21.75" customHeight="1">
      <c r="A24" s="6" t="s">
        <v>79</v>
      </c>
      <c r="C24" s="50">
        <v>2300000</v>
      </c>
      <c r="D24" s="45"/>
      <c r="E24" s="50">
        <v>59976767880</v>
      </c>
      <c r="F24" s="45"/>
      <c r="G24" s="50">
        <v>99961279800</v>
      </c>
      <c r="H24" s="45"/>
      <c r="I24" s="50">
        <v>-39984511920</v>
      </c>
      <c r="J24" s="45"/>
      <c r="K24" s="50">
        <v>2300000</v>
      </c>
      <c r="L24" s="45"/>
      <c r="M24" s="50">
        <v>59976767880</v>
      </c>
      <c r="N24" s="45"/>
      <c r="O24" s="50">
        <v>99961279800</v>
      </c>
      <c r="P24" s="45"/>
      <c r="Q24" s="50">
        <f t="shared" si="0"/>
        <v>-39984511920</v>
      </c>
      <c r="R24" s="47"/>
      <c r="S24" s="47"/>
    </row>
    <row r="25" spans="1:19" ht="21.75" customHeight="1">
      <c r="A25" s="6" t="s">
        <v>22</v>
      </c>
      <c r="C25" s="50">
        <v>3144957</v>
      </c>
      <c r="D25" s="45"/>
      <c r="E25" s="50">
        <v>15378545865</v>
      </c>
      <c r="F25" s="45"/>
      <c r="G25" s="50">
        <v>18864307986</v>
      </c>
      <c r="H25" s="45"/>
      <c r="I25" s="50">
        <v>-3485762121</v>
      </c>
      <c r="J25" s="45"/>
      <c r="K25" s="50">
        <v>3144957</v>
      </c>
      <c r="L25" s="45"/>
      <c r="M25" s="50">
        <v>15378545865</v>
      </c>
      <c r="N25" s="45"/>
      <c r="O25" s="50">
        <v>18865105706</v>
      </c>
      <c r="P25" s="45"/>
      <c r="Q25" s="50">
        <f t="shared" si="0"/>
        <v>-3486559841</v>
      </c>
      <c r="R25" s="47"/>
      <c r="S25" s="47"/>
    </row>
    <row r="26" spans="1:19" ht="21.75" customHeight="1">
      <c r="A26" s="6" t="s">
        <v>28</v>
      </c>
      <c r="C26" s="50">
        <v>36955535</v>
      </c>
      <c r="D26" s="45"/>
      <c r="E26" s="50">
        <v>41334276014</v>
      </c>
      <c r="F26" s="45"/>
      <c r="G26" s="50">
        <v>51667845018</v>
      </c>
      <c r="H26" s="45"/>
      <c r="I26" s="50">
        <v>-10333569004</v>
      </c>
      <c r="J26" s="45"/>
      <c r="K26" s="50">
        <v>36955535</v>
      </c>
      <c r="L26" s="45"/>
      <c r="M26" s="50">
        <v>41334276014</v>
      </c>
      <c r="N26" s="45"/>
      <c r="O26" s="50">
        <v>51667845018</v>
      </c>
      <c r="P26" s="45"/>
      <c r="Q26" s="50">
        <f t="shared" si="0"/>
        <v>-10333569004</v>
      </c>
      <c r="R26" s="47"/>
      <c r="S26" s="47"/>
    </row>
    <row r="27" spans="1:19" ht="21.75" customHeight="1">
      <c r="A27" s="6" t="s">
        <v>154</v>
      </c>
      <c r="C27" s="50">
        <v>147597</v>
      </c>
      <c r="D27" s="45"/>
      <c r="E27" s="50">
        <v>12715316447</v>
      </c>
      <c r="F27" s="45"/>
      <c r="G27" s="50">
        <v>21192194079</v>
      </c>
      <c r="H27" s="45"/>
      <c r="I27" s="50">
        <v>-8476877632</v>
      </c>
      <c r="J27" s="45"/>
      <c r="K27" s="50">
        <v>147597</v>
      </c>
      <c r="L27" s="45"/>
      <c r="M27" s="50">
        <v>12715316447</v>
      </c>
      <c r="N27" s="45"/>
      <c r="O27" s="50">
        <v>21192194079</v>
      </c>
      <c r="P27" s="45"/>
      <c r="Q27" s="50">
        <f t="shared" si="0"/>
        <v>-8476877632</v>
      </c>
      <c r="R27" s="47"/>
      <c r="S27" s="47"/>
    </row>
    <row r="28" spans="1:19" ht="21.75" customHeight="1">
      <c r="A28" s="6" t="s">
        <v>31</v>
      </c>
      <c r="C28" s="50">
        <v>392907</v>
      </c>
      <c r="D28" s="45"/>
      <c r="E28" s="50">
        <v>6471839159</v>
      </c>
      <c r="F28" s="45"/>
      <c r="G28" s="50">
        <v>8089798949</v>
      </c>
      <c r="H28" s="45"/>
      <c r="I28" s="50">
        <v>-1617959790</v>
      </c>
      <c r="J28" s="45"/>
      <c r="K28" s="50">
        <v>392907</v>
      </c>
      <c r="L28" s="45"/>
      <c r="M28" s="50">
        <v>6471839159</v>
      </c>
      <c r="N28" s="45"/>
      <c r="O28" s="50">
        <v>8343214338</v>
      </c>
      <c r="P28" s="45"/>
      <c r="Q28" s="50">
        <f t="shared" si="0"/>
        <v>-1871375179</v>
      </c>
      <c r="R28" s="47"/>
      <c r="S28" s="47"/>
    </row>
    <row r="29" spans="1:19" ht="21.75" customHeight="1">
      <c r="A29" s="6" t="s">
        <v>16</v>
      </c>
      <c r="C29" s="50">
        <v>3856206</v>
      </c>
      <c r="D29" s="45"/>
      <c r="E29" s="50">
        <v>122138609081</v>
      </c>
      <c r="F29" s="45"/>
      <c r="G29" s="50">
        <v>174483727259</v>
      </c>
      <c r="H29" s="45"/>
      <c r="I29" s="50">
        <v>-52345118178</v>
      </c>
      <c r="J29" s="45"/>
      <c r="K29" s="50">
        <v>3856206</v>
      </c>
      <c r="L29" s="45"/>
      <c r="M29" s="50">
        <v>122138609081</v>
      </c>
      <c r="N29" s="45"/>
      <c r="O29" s="50">
        <v>174483727259</v>
      </c>
      <c r="P29" s="45"/>
      <c r="Q29" s="50">
        <f t="shared" si="0"/>
        <v>-52345118178</v>
      </c>
      <c r="R29" s="47"/>
      <c r="S29" s="47"/>
    </row>
    <row r="30" spans="1:19" ht="21.75" customHeight="1">
      <c r="A30" s="6" t="s">
        <v>12</v>
      </c>
      <c r="C30" s="50">
        <v>28647873</v>
      </c>
      <c r="D30" s="45"/>
      <c r="E30" s="50">
        <v>54521883038</v>
      </c>
      <c r="F30" s="45"/>
      <c r="G30" s="50">
        <v>77888404340</v>
      </c>
      <c r="H30" s="45"/>
      <c r="I30" s="50">
        <v>-23366521302</v>
      </c>
      <c r="J30" s="45"/>
      <c r="K30" s="50">
        <v>28647873</v>
      </c>
      <c r="L30" s="45"/>
      <c r="M30" s="50">
        <v>54521883038</v>
      </c>
      <c r="N30" s="45"/>
      <c r="O30" s="50">
        <v>77888404340</v>
      </c>
      <c r="P30" s="45"/>
      <c r="Q30" s="50">
        <f t="shared" si="0"/>
        <v>-23366521302</v>
      </c>
      <c r="R30" s="47"/>
      <c r="S30" s="47"/>
    </row>
    <row r="31" spans="1:19" ht="21.75" customHeight="1">
      <c r="A31" s="6" t="s">
        <v>155</v>
      </c>
      <c r="C31" s="50">
        <v>170686</v>
      </c>
      <c r="D31" s="45"/>
      <c r="E31" s="50">
        <v>16433979661</v>
      </c>
      <c r="F31" s="45"/>
      <c r="G31" s="50">
        <v>32979063810</v>
      </c>
      <c r="H31" s="45"/>
      <c r="I31" s="50">
        <v>-16545084149</v>
      </c>
      <c r="J31" s="45"/>
      <c r="K31" s="50">
        <v>170686</v>
      </c>
      <c r="L31" s="45"/>
      <c r="M31" s="50">
        <v>16433979661</v>
      </c>
      <c r="N31" s="45"/>
      <c r="O31" s="50">
        <v>32979063810</v>
      </c>
      <c r="P31" s="45"/>
      <c r="Q31" s="50">
        <f t="shared" si="0"/>
        <v>-16545084149</v>
      </c>
      <c r="R31" s="47"/>
      <c r="S31" s="47"/>
    </row>
    <row r="32" spans="1:19" ht="21.75" customHeight="1">
      <c r="A32" s="6" t="s">
        <v>36</v>
      </c>
      <c r="C32" s="50">
        <v>8932996</v>
      </c>
      <c r="D32" s="45"/>
      <c r="E32" s="50">
        <v>51694521063</v>
      </c>
      <c r="F32" s="45"/>
      <c r="G32" s="50">
        <v>64440872450</v>
      </c>
      <c r="H32" s="45"/>
      <c r="I32" s="50">
        <v>-12746351387</v>
      </c>
      <c r="J32" s="45"/>
      <c r="K32" s="50">
        <v>8932996</v>
      </c>
      <c r="L32" s="45"/>
      <c r="M32" s="50">
        <v>51694521063</v>
      </c>
      <c r="N32" s="45"/>
      <c r="O32" s="50">
        <v>64440872450</v>
      </c>
      <c r="P32" s="45"/>
      <c r="Q32" s="50">
        <f t="shared" si="0"/>
        <v>-12746351387</v>
      </c>
      <c r="R32" s="47"/>
      <c r="S32" s="47"/>
    </row>
    <row r="33" spans="1:19" ht="21.75" customHeight="1">
      <c r="A33" s="6" t="s">
        <v>14</v>
      </c>
      <c r="C33" s="50">
        <v>4741021</v>
      </c>
      <c r="D33" s="45"/>
      <c r="E33" s="50">
        <v>21282583034</v>
      </c>
      <c r="F33" s="45"/>
      <c r="G33" s="50">
        <v>35469177362</v>
      </c>
      <c r="H33" s="45"/>
      <c r="I33" s="50">
        <v>-14186594328</v>
      </c>
      <c r="J33" s="45"/>
      <c r="K33" s="50">
        <v>4741021</v>
      </c>
      <c r="L33" s="45"/>
      <c r="M33" s="50">
        <v>21282583034</v>
      </c>
      <c r="N33" s="45"/>
      <c r="O33" s="50">
        <v>35469177362</v>
      </c>
      <c r="P33" s="45"/>
      <c r="Q33" s="50">
        <f t="shared" si="0"/>
        <v>-14186594328</v>
      </c>
      <c r="R33" s="47"/>
      <c r="S33" s="47"/>
    </row>
    <row r="34" spans="1:19" ht="21.75" customHeight="1">
      <c r="A34" s="6" t="s">
        <v>19</v>
      </c>
      <c r="C34" s="50">
        <v>1809644</v>
      </c>
      <c r="D34" s="45"/>
      <c r="E34" s="50">
        <v>38148700075</v>
      </c>
      <c r="F34" s="45"/>
      <c r="G34" s="50">
        <v>54498142964</v>
      </c>
      <c r="H34" s="45"/>
      <c r="I34" s="50">
        <v>-16349442889</v>
      </c>
      <c r="J34" s="45"/>
      <c r="K34" s="50">
        <v>1809644</v>
      </c>
      <c r="L34" s="45"/>
      <c r="M34" s="50">
        <v>38148700075</v>
      </c>
      <c r="N34" s="45"/>
      <c r="O34" s="50">
        <v>63476420223</v>
      </c>
      <c r="P34" s="45"/>
      <c r="Q34" s="50">
        <f t="shared" si="0"/>
        <v>-25327720148</v>
      </c>
      <c r="R34" s="47"/>
      <c r="S34" s="47"/>
    </row>
    <row r="35" spans="1:19" ht="21.75" customHeight="1">
      <c r="A35" s="6" t="s">
        <v>27</v>
      </c>
      <c r="C35" s="50">
        <v>17812437</v>
      </c>
      <c r="D35" s="45"/>
      <c r="E35" s="50">
        <v>49489291213</v>
      </c>
      <c r="F35" s="45"/>
      <c r="G35" s="50">
        <v>60041115090</v>
      </c>
      <c r="H35" s="45"/>
      <c r="I35" s="50">
        <v>-10551823877</v>
      </c>
      <c r="J35" s="45"/>
      <c r="K35" s="50">
        <v>17812437</v>
      </c>
      <c r="L35" s="45"/>
      <c r="M35" s="50">
        <v>49489291213</v>
      </c>
      <c r="N35" s="45"/>
      <c r="O35" s="50">
        <v>60041115090</v>
      </c>
      <c r="P35" s="45"/>
      <c r="Q35" s="50">
        <f t="shared" si="0"/>
        <v>-10551823877</v>
      </c>
      <c r="R35" s="47"/>
      <c r="S35" s="47"/>
    </row>
    <row r="36" spans="1:19" ht="21.75" customHeight="1">
      <c r="A36" s="6" t="s">
        <v>153</v>
      </c>
      <c r="C36" s="50">
        <v>400000</v>
      </c>
      <c r="D36" s="45"/>
      <c r="E36" s="50">
        <v>12550230960</v>
      </c>
      <c r="F36" s="45"/>
      <c r="G36" s="50">
        <v>20917051600</v>
      </c>
      <c r="H36" s="45"/>
      <c r="I36" s="50">
        <v>-8366820640</v>
      </c>
      <c r="J36" s="45"/>
      <c r="K36" s="50">
        <v>400000</v>
      </c>
      <c r="L36" s="45"/>
      <c r="M36" s="50">
        <v>12550230960</v>
      </c>
      <c r="N36" s="45"/>
      <c r="O36" s="50">
        <v>20917051600</v>
      </c>
      <c r="P36" s="45"/>
      <c r="Q36" s="50">
        <f t="shared" si="0"/>
        <v>-8366820640</v>
      </c>
      <c r="R36" s="47"/>
      <c r="S36" s="47"/>
    </row>
    <row r="37" spans="1:19" ht="21.75" customHeight="1">
      <c r="A37" s="6" t="s">
        <v>33</v>
      </c>
      <c r="C37" s="50">
        <v>3114035</v>
      </c>
      <c r="D37" s="45"/>
      <c r="E37" s="50">
        <v>8262562424</v>
      </c>
      <c r="F37" s="45"/>
      <c r="G37" s="50">
        <v>10243229033</v>
      </c>
      <c r="H37" s="45"/>
      <c r="I37" s="50">
        <v>-1980666609</v>
      </c>
      <c r="J37" s="45"/>
      <c r="K37" s="50">
        <v>3114035</v>
      </c>
      <c r="L37" s="45"/>
      <c r="M37" s="50">
        <v>8262562424</v>
      </c>
      <c r="N37" s="45"/>
      <c r="O37" s="50">
        <v>10243229033</v>
      </c>
      <c r="P37" s="45"/>
      <c r="Q37" s="50">
        <f t="shared" si="0"/>
        <v>-1980666609</v>
      </c>
      <c r="R37" s="47"/>
      <c r="S37" s="47"/>
    </row>
    <row r="38" spans="1:19" ht="21.75" customHeight="1">
      <c r="A38" s="76" t="s">
        <v>21</v>
      </c>
      <c r="C38" s="50">
        <v>1600000</v>
      </c>
      <c r="D38" s="50"/>
      <c r="E38" s="50">
        <v>2116313456</v>
      </c>
      <c r="F38" s="50"/>
      <c r="G38" s="50">
        <v>2632293856</v>
      </c>
      <c r="H38" s="50"/>
      <c r="I38" s="50">
        <v>-515980400</v>
      </c>
      <c r="J38" s="50"/>
      <c r="K38" s="50">
        <v>1600000</v>
      </c>
      <c r="L38" s="50"/>
      <c r="M38" s="50">
        <v>2116313456</v>
      </c>
      <c r="N38" s="50"/>
      <c r="O38" s="50">
        <v>2632293856</v>
      </c>
      <c r="P38" s="50"/>
      <c r="Q38" s="50">
        <f t="shared" si="0"/>
        <v>-515980400</v>
      </c>
      <c r="R38" s="47"/>
      <c r="S38" s="47"/>
    </row>
    <row r="39" spans="1:19" ht="21.75" customHeight="1">
      <c r="A39" s="76" t="s">
        <v>156</v>
      </c>
      <c r="C39" s="50">
        <v>750000</v>
      </c>
      <c r="D39" s="50"/>
      <c r="E39" s="50">
        <v>5405886960</v>
      </c>
      <c r="F39" s="50"/>
      <c r="G39" s="50">
        <v>6556424025</v>
      </c>
      <c r="H39" s="50"/>
      <c r="I39" s="50">
        <v>-1150537065</v>
      </c>
      <c r="J39" s="50"/>
      <c r="K39" s="50">
        <v>750000</v>
      </c>
      <c r="L39" s="50"/>
      <c r="M39" s="50">
        <v>5405886960</v>
      </c>
      <c r="N39" s="50"/>
      <c r="O39" s="50">
        <v>6556424025</v>
      </c>
      <c r="P39" s="50"/>
      <c r="Q39" s="50">
        <f t="shared" si="0"/>
        <v>-1150537065</v>
      </c>
      <c r="R39" s="47"/>
      <c r="S39" s="47"/>
    </row>
    <row r="40" spans="1:19" ht="21.75" customHeight="1">
      <c r="A40" s="76" t="s">
        <v>50</v>
      </c>
      <c r="C40" s="50">
        <v>177100</v>
      </c>
      <c r="D40" s="50"/>
      <c r="E40" s="50">
        <v>177003701875</v>
      </c>
      <c r="F40" s="50"/>
      <c r="G40" s="50">
        <v>177004309658</v>
      </c>
      <c r="H40" s="50"/>
      <c r="I40" s="50">
        <v>-607783</v>
      </c>
      <c r="J40" s="50"/>
      <c r="K40" s="50">
        <v>177100</v>
      </c>
      <c r="L40" s="50"/>
      <c r="M40" s="50">
        <v>177003701875</v>
      </c>
      <c r="N40" s="50"/>
      <c r="O40" s="50">
        <v>177014097158</v>
      </c>
      <c r="P40" s="50"/>
      <c r="Q40" s="50">
        <f t="shared" si="0"/>
        <v>-10395283</v>
      </c>
      <c r="R40" s="47"/>
      <c r="S40" s="47"/>
    </row>
    <row r="41" spans="1:19" ht="21.75" customHeight="1" thickBot="1">
      <c r="A41" s="22"/>
      <c r="C41" s="50"/>
      <c r="D41" s="45"/>
      <c r="E41" s="44">
        <f>SUM(E8:E40)</f>
        <v>1741084227164</v>
      </c>
      <c r="F41" s="45"/>
      <c r="G41" s="44">
        <f>SUM(G8:G40)</f>
        <v>2442030839890</v>
      </c>
      <c r="H41" s="45"/>
      <c r="I41" s="52">
        <f>SUM(I8:I40)</f>
        <v>-700946612726</v>
      </c>
      <c r="J41" s="45"/>
      <c r="K41" s="50"/>
      <c r="L41" s="45"/>
      <c r="M41" s="44">
        <f>SUM(M8:M40)</f>
        <v>1741084227164</v>
      </c>
      <c r="N41" s="45"/>
      <c r="O41" s="44">
        <f>SUM(O8:O40)</f>
        <v>2451273117758</v>
      </c>
      <c r="P41" s="45"/>
      <c r="Q41" s="44">
        <f>SUM(Q8:Q40)</f>
        <v>-710188890594</v>
      </c>
      <c r="R41" s="47"/>
    </row>
    <row r="42" spans="1:19" ht="13.5" thickTop="1">
      <c r="I42" s="47"/>
      <c r="Q42" s="47"/>
      <c r="R42" s="47"/>
    </row>
    <row r="43" spans="1:19">
      <c r="I43" s="47"/>
      <c r="Q43" s="40"/>
      <c r="R43" s="47"/>
    </row>
    <row r="44" spans="1:19">
      <c r="I44" s="47"/>
      <c r="Q44" s="47"/>
    </row>
    <row r="45" spans="1:19">
      <c r="I45" s="47"/>
      <c r="Q45" s="47"/>
    </row>
    <row r="46" spans="1:19">
      <c r="G46" s="47"/>
    </row>
    <row r="48" spans="1:19">
      <c r="O48" s="4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6936-1209-48B8-8C2B-2ACED299F891}">
  <sheetPr>
    <tabColor rgb="FF92D050"/>
  </sheetPr>
  <dimension ref="A1:Q13"/>
  <sheetViews>
    <sheetView rightToLeft="1" view="pageBreakPreview" topLeftCell="A7" zoomScaleNormal="100" zoomScaleSheetLayoutView="100" workbookViewId="0">
      <selection activeCell="D9" sqref="D9"/>
    </sheetView>
  </sheetViews>
  <sheetFormatPr defaultRowHeight="15"/>
  <cols>
    <col min="1" max="1" width="17.42578125" style="55" customWidth="1"/>
    <col min="2" max="2" width="9.28515625" style="55" bestFit="1" customWidth="1"/>
    <col min="3" max="3" width="39.28515625" style="55" bestFit="1" customWidth="1"/>
    <col min="4" max="4" width="12.42578125" style="55" bestFit="1" customWidth="1"/>
    <col min="5" max="5" width="17.42578125" style="55" bestFit="1" customWidth="1"/>
    <col min="6" max="6" width="16.5703125" style="55" bestFit="1" customWidth="1"/>
    <col min="7" max="7" width="9.42578125" style="55" bestFit="1" customWidth="1"/>
    <col min="8" max="8" width="15" style="55" customWidth="1"/>
    <col min="9" max="11" width="9.140625" style="55"/>
    <col min="12" max="12" width="15.28515625" style="55" bestFit="1" customWidth="1"/>
    <col min="13" max="13" width="9.140625" style="55"/>
    <col min="14" max="14" width="15.28515625" style="55" bestFit="1" customWidth="1"/>
    <col min="15" max="16384" width="9.140625" style="55"/>
  </cols>
  <sheetData>
    <row r="1" spans="1:17" ht="26.25" customHeight="1">
      <c r="A1" s="122" t="str">
        <f>'درآمد ناشی از تغییر قیمت اوراق'!A1:Q1</f>
        <v>صندوق سرمایه گذاری افق دماوند</v>
      </c>
      <c r="B1" s="122"/>
      <c r="C1" s="122"/>
      <c r="D1" s="122"/>
      <c r="E1" s="122"/>
      <c r="F1" s="122"/>
      <c r="G1" s="122"/>
      <c r="H1" s="122"/>
      <c r="I1" s="68"/>
      <c r="J1" s="68"/>
      <c r="K1" s="68"/>
      <c r="L1" s="68"/>
      <c r="M1" s="68"/>
      <c r="N1" s="68"/>
      <c r="O1" s="68"/>
      <c r="P1" s="68"/>
      <c r="Q1" s="68"/>
    </row>
    <row r="2" spans="1:17" ht="26.25" customHeight="1">
      <c r="A2" s="122" t="s">
        <v>58</v>
      </c>
      <c r="B2" s="122"/>
      <c r="C2" s="122"/>
      <c r="D2" s="122"/>
      <c r="E2" s="122"/>
      <c r="F2" s="122"/>
      <c r="G2" s="122"/>
      <c r="H2" s="122"/>
      <c r="I2" s="68"/>
      <c r="J2" s="68"/>
      <c r="K2" s="68"/>
      <c r="L2" s="68"/>
      <c r="M2" s="68"/>
      <c r="N2" s="68"/>
      <c r="O2" s="68"/>
      <c r="P2" s="68"/>
      <c r="Q2" s="68"/>
    </row>
    <row r="3" spans="1:17" ht="25.5">
      <c r="A3" s="122" t="str">
        <f>سهام!A3</f>
        <v>برای ماه منتهی به 1405/02/31</v>
      </c>
      <c r="B3" s="122"/>
      <c r="C3" s="122"/>
      <c r="D3" s="122"/>
      <c r="E3" s="122"/>
      <c r="F3" s="122"/>
      <c r="G3" s="122"/>
      <c r="H3" s="122"/>
      <c r="I3" s="68"/>
      <c r="J3" s="68"/>
      <c r="K3" s="68"/>
      <c r="L3" s="68"/>
      <c r="M3" s="68"/>
      <c r="N3" s="68"/>
      <c r="O3" s="68"/>
      <c r="P3" s="68"/>
      <c r="Q3" s="68"/>
    </row>
    <row r="6" spans="1:17" ht="21">
      <c r="A6" s="123" t="s">
        <v>132</v>
      </c>
      <c r="B6" s="124"/>
      <c r="C6" s="124"/>
      <c r="D6" s="124"/>
      <c r="E6" s="124"/>
      <c r="F6" s="124"/>
      <c r="G6" s="124"/>
      <c r="H6" s="61"/>
    </row>
    <row r="7" spans="1:17" ht="15.75" thickBot="1">
      <c r="A7" s="61"/>
      <c r="B7" s="61"/>
      <c r="C7" s="61"/>
      <c r="D7" s="61"/>
      <c r="E7" s="61"/>
      <c r="F7" s="61"/>
      <c r="G7" s="61"/>
      <c r="H7" s="61"/>
    </row>
    <row r="8" spans="1:17" ht="51.75">
      <c r="A8" s="67" t="s">
        <v>83</v>
      </c>
      <c r="B8" s="66" t="s">
        <v>84</v>
      </c>
      <c r="C8" s="66" t="s">
        <v>85</v>
      </c>
      <c r="D8" s="66" t="s">
        <v>42</v>
      </c>
      <c r="E8" s="66" t="s">
        <v>86</v>
      </c>
      <c r="F8" s="65" t="s">
        <v>82</v>
      </c>
      <c r="G8" s="65" t="s">
        <v>131</v>
      </c>
      <c r="H8" s="65" t="s">
        <v>130</v>
      </c>
    </row>
    <row r="9" spans="1:17" ht="18">
      <c r="A9" s="64" t="s">
        <v>129</v>
      </c>
      <c r="B9" s="64" t="s">
        <v>87</v>
      </c>
      <c r="C9" s="64" t="s">
        <v>133</v>
      </c>
      <c r="D9" s="63">
        <v>177100</v>
      </c>
      <c r="E9" s="63">
        <f>D9*1000000</f>
        <v>177100000000</v>
      </c>
      <c r="F9" s="63">
        <v>1176380040</v>
      </c>
      <c r="G9" s="63">
        <v>23</v>
      </c>
      <c r="H9" s="62" t="s">
        <v>134</v>
      </c>
    </row>
    <row r="10" spans="1:17" ht="18.75" thickBot="1">
      <c r="A10" s="61"/>
      <c r="B10" s="61"/>
      <c r="C10" s="61"/>
      <c r="D10" s="60">
        <f>SUM(D9)</f>
        <v>177100</v>
      </c>
      <c r="E10" s="59">
        <f>SUM(E9)</f>
        <v>177100000000</v>
      </c>
      <c r="F10" s="59">
        <f>SUM(F9)</f>
        <v>1176380040</v>
      </c>
      <c r="G10" s="58"/>
      <c r="H10" s="57"/>
    </row>
    <row r="11" spans="1:17" ht="15.75" thickTop="1"/>
    <row r="13" spans="1:17">
      <c r="G13" s="56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47"/>
  <sheetViews>
    <sheetView rightToLeft="1" view="pageBreakPreview" topLeftCell="A31" zoomScaleNormal="100" zoomScaleSheetLayoutView="100" workbookViewId="0">
      <selection activeCell="A54" sqref="A54"/>
    </sheetView>
  </sheetViews>
  <sheetFormatPr defaultRowHeight="12.75"/>
  <cols>
    <col min="1" max="1" width="47.42578125" style="9" customWidth="1"/>
    <col min="2" max="2" width="1.28515625" style="9" customWidth="1"/>
    <col min="3" max="3" width="17.28515625" style="9" customWidth="1"/>
    <col min="4" max="4" width="1.28515625" style="9" customWidth="1"/>
    <col min="5" max="5" width="18.42578125" style="9" bestFit="1" customWidth="1"/>
    <col min="6" max="6" width="1.28515625" style="9" customWidth="1"/>
    <col min="7" max="7" width="18.5703125" style="9" bestFit="1" customWidth="1"/>
    <col min="8" max="8" width="1.28515625" style="9" customWidth="1"/>
    <col min="9" max="9" width="11.7109375" style="9" bestFit="1" customWidth="1"/>
    <col min="10" max="10" width="1.28515625" style="9" customWidth="1"/>
    <col min="11" max="11" width="16.7109375" style="9" bestFit="1" customWidth="1"/>
    <col min="12" max="12" width="1.28515625" style="9" customWidth="1"/>
    <col min="13" max="13" width="13.570312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2.85546875" style="9" bestFit="1" customWidth="1"/>
    <col min="18" max="18" width="1.28515625" style="9" customWidth="1"/>
    <col min="19" max="19" width="16.28515625" style="9" bestFit="1" customWidth="1"/>
    <col min="20" max="20" width="1.28515625" style="9" customWidth="1"/>
    <col min="21" max="21" width="18.4257812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7" width="16" style="9" bestFit="1" customWidth="1"/>
    <col min="28" max="28" width="9.140625" style="88"/>
    <col min="29" max="16384" width="9.140625" style="9"/>
  </cols>
  <sheetData>
    <row r="1" spans="1:27" ht="29.1" customHeight="1">
      <c r="A1" s="110" t="s">
        <v>141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7" ht="21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7" ht="21.75" customHeight="1">
      <c r="A3" s="110" t="s">
        <v>160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7" ht="14.45" customHeight="1">
      <c r="A4" s="111" t="s">
        <v>115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7" ht="14.45" customHeight="1">
      <c r="A5" s="111" t="s">
        <v>116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7" ht="14.45" customHeight="1">
      <c r="C6" s="112" t="s">
        <v>151</v>
      </c>
      <c r="D6" s="112"/>
      <c r="E6" s="112"/>
      <c r="F6" s="112"/>
      <c r="G6" s="112"/>
      <c r="I6" s="112" t="s">
        <v>2</v>
      </c>
      <c r="J6" s="112"/>
      <c r="K6" s="112"/>
      <c r="L6" s="112"/>
      <c r="M6" s="112"/>
      <c r="N6" s="112"/>
      <c r="O6" s="112"/>
      <c r="Q6" s="112" t="s">
        <v>152</v>
      </c>
      <c r="R6" s="112"/>
      <c r="S6" s="112"/>
      <c r="T6" s="112"/>
      <c r="U6" s="112"/>
      <c r="V6" s="112"/>
      <c r="W6" s="112"/>
      <c r="X6" s="112"/>
      <c r="Y6" s="112"/>
    </row>
    <row r="7" spans="1:27" ht="14.45" customHeight="1">
      <c r="C7" s="10"/>
      <c r="D7" s="10"/>
      <c r="E7" s="10"/>
      <c r="F7" s="10"/>
      <c r="G7" s="10"/>
      <c r="I7" s="113" t="s">
        <v>3</v>
      </c>
      <c r="J7" s="113"/>
      <c r="K7" s="113"/>
      <c r="L7" s="10"/>
      <c r="M7" s="113" t="s">
        <v>4</v>
      </c>
      <c r="N7" s="113"/>
      <c r="O7" s="113"/>
      <c r="Q7" s="10"/>
      <c r="R7" s="10"/>
      <c r="S7" s="10"/>
      <c r="T7" s="10"/>
      <c r="U7" s="10"/>
      <c r="V7" s="10"/>
      <c r="W7" s="10"/>
      <c r="X7" s="10"/>
      <c r="Y7" s="10"/>
    </row>
    <row r="8" spans="1:27" ht="14.45" customHeight="1">
      <c r="A8" s="14" t="s">
        <v>5</v>
      </c>
      <c r="C8" s="42" t="s">
        <v>6</v>
      </c>
      <c r="E8" s="2" t="s">
        <v>7</v>
      </c>
      <c r="G8" s="2" t="s">
        <v>8</v>
      </c>
      <c r="I8" s="4" t="s">
        <v>6</v>
      </c>
      <c r="J8" s="10"/>
      <c r="K8" s="4" t="s">
        <v>7</v>
      </c>
      <c r="M8" s="4" t="s">
        <v>6</v>
      </c>
      <c r="N8" s="10"/>
      <c r="O8" s="4" t="s">
        <v>9</v>
      </c>
      <c r="Q8" s="2" t="s">
        <v>6</v>
      </c>
      <c r="S8" s="2" t="s">
        <v>10</v>
      </c>
      <c r="U8" s="2" t="s">
        <v>7</v>
      </c>
      <c r="W8" s="2" t="s">
        <v>8</v>
      </c>
      <c r="Y8" s="2" t="s">
        <v>11</v>
      </c>
    </row>
    <row r="9" spans="1:27" ht="21.75" customHeight="1">
      <c r="A9" s="13" t="s">
        <v>153</v>
      </c>
      <c r="C9" s="78">
        <v>400000</v>
      </c>
      <c r="D9" s="79"/>
      <c r="E9" s="78">
        <v>23099336226</v>
      </c>
      <c r="F9" s="79"/>
      <c r="G9" s="78">
        <v>20917051600</v>
      </c>
      <c r="H9" s="79"/>
      <c r="I9" s="80">
        <v>0</v>
      </c>
      <c r="J9" s="79"/>
      <c r="K9" s="80">
        <v>0</v>
      </c>
      <c r="L9" s="79"/>
      <c r="M9" s="80">
        <v>0</v>
      </c>
      <c r="N9" s="79"/>
      <c r="O9" s="80">
        <v>0</v>
      </c>
      <c r="P9" s="81"/>
      <c r="Q9" s="80">
        <v>400000</v>
      </c>
      <c r="R9" s="79"/>
      <c r="S9" s="80">
        <v>31620</v>
      </c>
      <c r="T9" s="79"/>
      <c r="U9" s="80">
        <v>23099336226</v>
      </c>
      <c r="V9" s="82"/>
      <c r="W9" s="80">
        <v>12550230960</v>
      </c>
      <c r="X9" s="82"/>
      <c r="Y9" s="83">
        <f>W9/1780977753407*100</f>
        <v>0.70468207342800782</v>
      </c>
      <c r="Z9" s="23"/>
      <c r="AA9" s="23"/>
    </row>
    <row r="10" spans="1:27" ht="21.75" customHeight="1">
      <c r="A10" s="12" t="s">
        <v>154</v>
      </c>
      <c r="C10" s="80">
        <v>147597</v>
      </c>
      <c r="D10" s="79"/>
      <c r="E10" s="80">
        <v>23406879682</v>
      </c>
      <c r="F10" s="79"/>
      <c r="G10" s="80">
        <v>21192194079</v>
      </c>
      <c r="H10" s="79"/>
      <c r="I10" s="80">
        <v>0</v>
      </c>
      <c r="J10" s="79"/>
      <c r="K10" s="80">
        <v>0</v>
      </c>
      <c r="L10" s="79"/>
      <c r="M10" s="80">
        <v>0</v>
      </c>
      <c r="N10" s="79"/>
      <c r="O10" s="80">
        <v>0</v>
      </c>
      <c r="P10" s="81"/>
      <c r="Q10" s="80">
        <v>147597</v>
      </c>
      <c r="R10" s="79"/>
      <c r="S10" s="80">
        <v>86820</v>
      </c>
      <c r="T10" s="79"/>
      <c r="U10" s="80">
        <v>23406879682</v>
      </c>
      <c r="V10" s="82"/>
      <c r="W10" s="80">
        <v>12715316447</v>
      </c>
      <c r="X10" s="82"/>
      <c r="Y10" s="83">
        <f t="shared" ref="Y10:Y40" si="0">W10/1780977753407*100</f>
        <v>0.71395144732581151</v>
      </c>
      <c r="Z10" s="23"/>
      <c r="AA10" s="23"/>
    </row>
    <row r="11" spans="1:27" ht="21.75" customHeight="1">
      <c r="A11" s="12" t="s">
        <v>12</v>
      </c>
      <c r="C11" s="80">
        <v>28647873</v>
      </c>
      <c r="D11" s="79"/>
      <c r="E11" s="80">
        <v>74561564305</v>
      </c>
      <c r="F11" s="79"/>
      <c r="G11" s="80">
        <v>77888404340</v>
      </c>
      <c r="H11" s="79"/>
      <c r="I11" s="80">
        <v>0</v>
      </c>
      <c r="J11" s="79"/>
      <c r="K11" s="80">
        <v>0</v>
      </c>
      <c r="L11" s="79"/>
      <c r="M11" s="80">
        <v>0</v>
      </c>
      <c r="N11" s="79"/>
      <c r="O11" s="80">
        <v>0</v>
      </c>
      <c r="P11" s="81"/>
      <c r="Q11" s="80">
        <v>28647873</v>
      </c>
      <c r="R11" s="79"/>
      <c r="S11" s="80">
        <v>1918</v>
      </c>
      <c r="T11" s="79"/>
      <c r="U11" s="80">
        <v>74561564305</v>
      </c>
      <c r="V11" s="82"/>
      <c r="W11" s="80">
        <v>54521883038</v>
      </c>
      <c r="X11" s="82"/>
      <c r="Y11" s="83">
        <f t="shared" si="0"/>
        <v>3.0613455408805614</v>
      </c>
      <c r="Z11" s="23"/>
      <c r="AA11" s="23"/>
    </row>
    <row r="12" spans="1:27" ht="21.75" customHeight="1">
      <c r="A12" s="12" t="s">
        <v>13</v>
      </c>
      <c r="C12" s="80">
        <v>23692688</v>
      </c>
      <c r="D12" s="79"/>
      <c r="E12" s="80">
        <v>175601843433</v>
      </c>
      <c r="F12" s="79"/>
      <c r="G12" s="80">
        <v>306376371175</v>
      </c>
      <c r="H12" s="79"/>
      <c r="I12" s="80">
        <v>0</v>
      </c>
      <c r="J12" s="79"/>
      <c r="K12" s="80">
        <v>0</v>
      </c>
      <c r="L12" s="79"/>
      <c r="M12" s="80">
        <v>-1</v>
      </c>
      <c r="N12" s="79"/>
      <c r="O12" s="80">
        <v>1</v>
      </c>
      <c r="P12" s="81"/>
      <c r="Q12" s="80">
        <v>23692687</v>
      </c>
      <c r="R12" s="79"/>
      <c r="S12" s="80">
        <v>9122.4</v>
      </c>
      <c r="T12" s="79"/>
      <c r="U12" s="80">
        <v>175601836021</v>
      </c>
      <c r="V12" s="82"/>
      <c r="W12" s="80">
        <v>214463450771</v>
      </c>
      <c r="X12" s="82"/>
      <c r="Y12" s="83">
        <f t="shared" si="0"/>
        <v>12.041893861994216</v>
      </c>
      <c r="Z12" s="23"/>
      <c r="AA12" s="23"/>
    </row>
    <row r="13" spans="1:27" ht="21.75" customHeight="1">
      <c r="A13" s="12" t="s">
        <v>14</v>
      </c>
      <c r="C13" s="80">
        <v>3340700</v>
      </c>
      <c r="D13" s="79"/>
      <c r="E13" s="80">
        <v>37342122541</v>
      </c>
      <c r="F13" s="79"/>
      <c r="G13" s="80">
        <v>35469177362</v>
      </c>
      <c r="H13" s="79"/>
      <c r="I13" s="80">
        <v>1400321</v>
      </c>
      <c r="J13" s="79"/>
      <c r="K13" s="80">
        <v>0</v>
      </c>
      <c r="L13" s="79"/>
      <c r="M13" s="80">
        <v>0</v>
      </c>
      <c r="N13" s="79"/>
      <c r="O13" s="80">
        <v>0</v>
      </c>
      <c r="P13" s="81"/>
      <c r="Q13" s="80">
        <v>4741021</v>
      </c>
      <c r="R13" s="79"/>
      <c r="S13" s="80">
        <v>4524</v>
      </c>
      <c r="T13" s="79"/>
      <c r="U13" s="80">
        <v>37342122541</v>
      </c>
      <c r="V13" s="82"/>
      <c r="W13" s="80">
        <v>21282583034</v>
      </c>
      <c r="X13" s="82"/>
      <c r="Y13" s="83">
        <f t="shared" si="0"/>
        <v>1.1949943222640791</v>
      </c>
      <c r="Z13" s="23"/>
      <c r="AA13" s="23"/>
    </row>
    <row r="14" spans="1:27" ht="21.75" customHeight="1">
      <c r="A14" s="12" t="s">
        <v>79</v>
      </c>
      <c r="C14" s="80">
        <v>2300000</v>
      </c>
      <c r="D14" s="79"/>
      <c r="E14" s="80">
        <v>113695812831</v>
      </c>
      <c r="F14" s="79"/>
      <c r="G14" s="80">
        <v>99961279800</v>
      </c>
      <c r="H14" s="79"/>
      <c r="I14" s="80">
        <v>0</v>
      </c>
      <c r="J14" s="79"/>
      <c r="K14" s="80">
        <v>0</v>
      </c>
      <c r="L14" s="79"/>
      <c r="M14" s="80">
        <v>0</v>
      </c>
      <c r="N14" s="79"/>
      <c r="O14" s="80">
        <v>0</v>
      </c>
      <c r="P14" s="81"/>
      <c r="Q14" s="80">
        <v>2300000</v>
      </c>
      <c r="R14" s="79"/>
      <c r="S14" s="80">
        <v>26280</v>
      </c>
      <c r="T14" s="79"/>
      <c r="U14" s="80">
        <v>113695812831</v>
      </c>
      <c r="V14" s="82"/>
      <c r="W14" s="80">
        <v>59976767880</v>
      </c>
      <c r="X14" s="82"/>
      <c r="Y14" s="83">
        <f t="shared" si="0"/>
        <v>3.3676315027105082</v>
      </c>
      <c r="Z14" s="23"/>
      <c r="AA14" s="23"/>
    </row>
    <row r="15" spans="1:27" ht="21.75" customHeight="1">
      <c r="A15" s="12" t="s">
        <v>155</v>
      </c>
      <c r="C15" s="80">
        <v>170686</v>
      </c>
      <c r="D15" s="79"/>
      <c r="E15" s="80">
        <v>39811913456</v>
      </c>
      <c r="F15" s="79"/>
      <c r="G15" s="80">
        <v>32979063810</v>
      </c>
      <c r="H15" s="79"/>
      <c r="I15" s="80">
        <v>0</v>
      </c>
      <c r="J15" s="79"/>
      <c r="K15" s="80">
        <v>0</v>
      </c>
      <c r="L15" s="79"/>
      <c r="M15" s="80">
        <v>0</v>
      </c>
      <c r="N15" s="79"/>
      <c r="O15" s="80">
        <v>0</v>
      </c>
      <c r="P15" s="81"/>
      <c r="Q15" s="80">
        <v>170686</v>
      </c>
      <c r="R15" s="79"/>
      <c r="S15" s="80">
        <v>97032</v>
      </c>
      <c r="T15" s="79"/>
      <c r="U15" s="80">
        <v>39811913456</v>
      </c>
      <c r="V15" s="82"/>
      <c r="W15" s="80">
        <v>16433979661</v>
      </c>
      <c r="X15" s="82"/>
      <c r="Y15" s="83">
        <f t="shared" si="0"/>
        <v>0.92275041782874001</v>
      </c>
      <c r="Z15" s="23"/>
      <c r="AA15" s="23"/>
    </row>
    <row r="16" spans="1:27" ht="21.75" customHeight="1">
      <c r="A16" s="12" t="s">
        <v>15</v>
      </c>
      <c r="C16" s="80">
        <v>2983927</v>
      </c>
      <c r="D16" s="79"/>
      <c r="E16" s="80">
        <v>15214011271</v>
      </c>
      <c r="F16" s="79"/>
      <c r="G16" s="80">
        <v>12169139714.0319</v>
      </c>
      <c r="H16" s="79"/>
      <c r="I16" s="80">
        <v>0</v>
      </c>
      <c r="J16" s="79"/>
      <c r="K16" s="80">
        <v>0</v>
      </c>
      <c r="L16" s="79"/>
      <c r="M16" s="80">
        <v>0</v>
      </c>
      <c r="N16" s="79"/>
      <c r="O16" s="80">
        <v>0</v>
      </c>
      <c r="P16" s="81"/>
      <c r="Q16" s="80">
        <v>2983927</v>
      </c>
      <c r="R16" s="79"/>
      <c r="S16" s="80">
        <v>2877</v>
      </c>
      <c r="T16" s="79"/>
      <c r="U16" s="80">
        <v>15214011271</v>
      </c>
      <c r="V16" s="82"/>
      <c r="W16" s="80">
        <v>8518397799</v>
      </c>
      <c r="X16" s="82"/>
      <c r="Y16" s="83">
        <f t="shared" si="0"/>
        <v>0.4782989446501707</v>
      </c>
      <c r="Z16" s="23"/>
      <c r="AA16" s="23"/>
    </row>
    <row r="17" spans="1:27" ht="21.75" customHeight="1">
      <c r="A17" s="12" t="s">
        <v>136</v>
      </c>
      <c r="C17" s="80">
        <v>326585</v>
      </c>
      <c r="D17" s="79"/>
      <c r="E17" s="80">
        <v>20980355372</v>
      </c>
      <c r="F17" s="79"/>
      <c r="G17" s="80">
        <v>16024791623</v>
      </c>
      <c r="H17" s="79"/>
      <c r="I17" s="80">
        <v>0</v>
      </c>
      <c r="J17" s="79"/>
      <c r="K17" s="80">
        <v>0</v>
      </c>
      <c r="L17" s="79"/>
      <c r="M17" s="80">
        <v>0</v>
      </c>
      <c r="N17" s="79"/>
      <c r="O17" s="80">
        <v>0</v>
      </c>
      <c r="P17" s="81"/>
      <c r="Q17" s="80">
        <v>326585</v>
      </c>
      <c r="R17" s="79"/>
      <c r="S17" s="80">
        <v>29670</v>
      </c>
      <c r="T17" s="79"/>
      <c r="U17" s="80">
        <v>20980355372</v>
      </c>
      <c r="V17" s="82"/>
      <c r="W17" s="80">
        <v>9614874974</v>
      </c>
      <c r="X17" s="82"/>
      <c r="Y17" s="83">
        <f t="shared" si="0"/>
        <v>0.53986496774632919</v>
      </c>
      <c r="Z17" s="23"/>
      <c r="AA17" s="23"/>
    </row>
    <row r="18" spans="1:27" ht="21.75" customHeight="1">
      <c r="A18" s="12" t="s">
        <v>16</v>
      </c>
      <c r="C18" s="80">
        <v>3856206</v>
      </c>
      <c r="D18" s="79"/>
      <c r="E18" s="80">
        <v>115994895440</v>
      </c>
      <c r="F18" s="79"/>
      <c r="G18" s="80">
        <v>174483727259</v>
      </c>
      <c r="H18" s="79"/>
      <c r="I18" s="80">
        <v>0</v>
      </c>
      <c r="J18" s="79"/>
      <c r="K18" s="80">
        <v>0</v>
      </c>
      <c r="L18" s="79"/>
      <c r="M18" s="80">
        <v>0</v>
      </c>
      <c r="N18" s="79"/>
      <c r="O18" s="80">
        <v>0</v>
      </c>
      <c r="P18" s="81"/>
      <c r="Q18" s="80">
        <v>3856206</v>
      </c>
      <c r="R18" s="79"/>
      <c r="S18" s="80">
        <v>31920</v>
      </c>
      <c r="T18" s="79"/>
      <c r="U18" s="80">
        <v>115994895440</v>
      </c>
      <c r="V18" s="82"/>
      <c r="W18" s="80">
        <v>122138609081</v>
      </c>
      <c r="X18" s="82"/>
      <c r="Y18" s="83">
        <f t="shared" si="0"/>
        <v>6.8579525402464769</v>
      </c>
      <c r="Z18" s="23"/>
      <c r="AA18" s="23"/>
    </row>
    <row r="19" spans="1:27" ht="21.75" customHeight="1">
      <c r="A19" s="12" t="s">
        <v>17</v>
      </c>
      <c r="C19" s="80">
        <v>138131</v>
      </c>
      <c r="D19" s="79"/>
      <c r="E19" s="80">
        <v>12015849482</v>
      </c>
      <c r="F19" s="79"/>
      <c r="G19" s="80">
        <v>13707695369</v>
      </c>
      <c r="H19" s="79"/>
      <c r="I19" s="80">
        <v>0</v>
      </c>
      <c r="J19" s="79"/>
      <c r="K19" s="80">
        <v>0</v>
      </c>
      <c r="L19" s="79"/>
      <c r="M19" s="80">
        <v>0</v>
      </c>
      <c r="N19" s="79"/>
      <c r="O19" s="80">
        <v>0</v>
      </c>
      <c r="P19" s="81"/>
      <c r="Q19" s="80">
        <v>138131</v>
      </c>
      <c r="R19" s="79"/>
      <c r="S19" s="80">
        <v>60006</v>
      </c>
      <c r="T19" s="79"/>
      <c r="U19" s="80">
        <v>12015849482</v>
      </c>
      <c r="V19" s="82"/>
      <c r="W19" s="80">
        <v>8224617221</v>
      </c>
      <c r="X19" s="82"/>
      <c r="Y19" s="83">
        <f t="shared" si="0"/>
        <v>0.46180347875016159</v>
      </c>
      <c r="Z19" s="23"/>
      <c r="AA19" s="23"/>
    </row>
    <row r="20" spans="1:27" ht="21.75" customHeight="1">
      <c r="A20" s="12" t="s">
        <v>18</v>
      </c>
      <c r="C20" s="80">
        <v>1019446</v>
      </c>
      <c r="D20" s="79"/>
      <c r="E20" s="80">
        <v>23163688107</v>
      </c>
      <c r="F20" s="79"/>
      <c r="G20" s="80">
        <v>61432383893</v>
      </c>
      <c r="H20" s="79"/>
      <c r="I20" s="80">
        <v>0</v>
      </c>
      <c r="J20" s="79"/>
      <c r="K20" s="80">
        <v>0</v>
      </c>
      <c r="L20" s="79"/>
      <c r="M20" s="80">
        <v>0</v>
      </c>
      <c r="N20" s="79"/>
      <c r="O20" s="80">
        <v>0</v>
      </c>
      <c r="P20" s="81"/>
      <c r="Q20" s="80">
        <v>1019446</v>
      </c>
      <c r="R20" s="79"/>
      <c r="S20" s="80">
        <v>42511</v>
      </c>
      <c r="T20" s="79"/>
      <c r="U20" s="80">
        <v>23163688107</v>
      </c>
      <c r="V20" s="82"/>
      <c r="W20" s="80">
        <v>43002668725</v>
      </c>
      <c r="X20" s="82"/>
      <c r="Y20" s="83">
        <f t="shared" si="0"/>
        <v>2.4145539517681311</v>
      </c>
      <c r="Z20" s="23"/>
      <c r="AA20" s="23"/>
    </row>
    <row r="21" spans="1:27" ht="21.75" customHeight="1">
      <c r="A21" s="12" t="s">
        <v>19</v>
      </c>
      <c r="C21" s="80">
        <v>1809644</v>
      </c>
      <c r="D21" s="79"/>
      <c r="E21" s="80">
        <v>59270809405</v>
      </c>
      <c r="F21" s="79"/>
      <c r="G21" s="80">
        <v>54498142964</v>
      </c>
      <c r="H21" s="79"/>
      <c r="I21" s="80">
        <v>0</v>
      </c>
      <c r="J21" s="79"/>
      <c r="K21" s="80">
        <v>0</v>
      </c>
      <c r="L21" s="79"/>
      <c r="M21" s="80">
        <v>0</v>
      </c>
      <c r="N21" s="79"/>
      <c r="O21" s="80">
        <v>0</v>
      </c>
      <c r="P21" s="81"/>
      <c r="Q21" s="80">
        <v>1809644</v>
      </c>
      <c r="R21" s="79"/>
      <c r="S21" s="80">
        <v>21245</v>
      </c>
      <c r="T21" s="79"/>
      <c r="U21" s="80">
        <v>59270809405</v>
      </c>
      <c r="V21" s="82"/>
      <c r="W21" s="80">
        <v>38148700075.190598</v>
      </c>
      <c r="X21" s="82"/>
      <c r="Y21" s="83">
        <f t="shared" si="0"/>
        <v>2.1420087927663531</v>
      </c>
      <c r="Z21" s="23"/>
      <c r="AA21" s="23"/>
    </row>
    <row r="22" spans="1:27" ht="21.75" customHeight="1">
      <c r="A22" s="12" t="s">
        <v>20</v>
      </c>
      <c r="C22" s="80">
        <v>6054100</v>
      </c>
      <c r="D22" s="79"/>
      <c r="E22" s="80">
        <v>45545876459</v>
      </c>
      <c r="F22" s="79"/>
      <c r="G22" s="80">
        <v>60793894286</v>
      </c>
      <c r="H22" s="79"/>
      <c r="I22" s="80">
        <v>0</v>
      </c>
      <c r="J22" s="79"/>
      <c r="K22" s="80">
        <v>0</v>
      </c>
      <c r="L22" s="79"/>
      <c r="M22" s="80">
        <v>-1</v>
      </c>
      <c r="N22" s="79"/>
      <c r="O22" s="80">
        <v>1</v>
      </c>
      <c r="P22" s="81"/>
      <c r="Q22" s="80">
        <v>6054099</v>
      </c>
      <c r="R22" s="79"/>
      <c r="S22" s="80">
        <v>7760</v>
      </c>
      <c r="T22" s="79"/>
      <c r="U22" s="80">
        <v>45545868936</v>
      </c>
      <c r="V22" s="82"/>
      <c r="W22" s="80">
        <v>46616654322</v>
      </c>
      <c r="X22" s="82"/>
      <c r="Y22" s="83">
        <f t="shared" si="0"/>
        <v>2.6174753857998851</v>
      </c>
      <c r="Z22" s="23"/>
      <c r="AA22" s="23"/>
    </row>
    <row r="23" spans="1:27" ht="21.75" customHeight="1">
      <c r="A23" s="12" t="s">
        <v>21</v>
      </c>
      <c r="C23" s="80">
        <v>1600000</v>
      </c>
      <c r="D23" s="79"/>
      <c r="E23" s="80">
        <v>4831452247</v>
      </c>
      <c r="F23" s="79"/>
      <c r="G23" s="80">
        <v>2632293856</v>
      </c>
      <c r="H23" s="79"/>
      <c r="I23" s="80">
        <v>0</v>
      </c>
      <c r="J23" s="79"/>
      <c r="K23" s="80">
        <v>0</v>
      </c>
      <c r="L23" s="79"/>
      <c r="M23" s="80">
        <v>0</v>
      </c>
      <c r="N23" s="79"/>
      <c r="O23" s="80">
        <v>0</v>
      </c>
      <c r="P23" s="81"/>
      <c r="Q23" s="80">
        <v>1600000</v>
      </c>
      <c r="R23" s="79"/>
      <c r="S23" s="80">
        <v>1333</v>
      </c>
      <c r="T23" s="79"/>
      <c r="U23" s="80">
        <v>4831452247</v>
      </c>
      <c r="V23" s="82"/>
      <c r="W23" s="80">
        <v>2116313456</v>
      </c>
      <c r="X23" s="82"/>
      <c r="Y23" s="83">
        <f t="shared" si="0"/>
        <v>0.1188287417937425</v>
      </c>
      <c r="Z23" s="23"/>
      <c r="AA23" s="23"/>
    </row>
    <row r="24" spans="1:27" ht="21.75" customHeight="1">
      <c r="A24" s="12" t="s">
        <v>22</v>
      </c>
      <c r="C24" s="80">
        <v>3144957</v>
      </c>
      <c r="D24" s="79"/>
      <c r="E24" s="80">
        <v>17152112059</v>
      </c>
      <c r="F24" s="79"/>
      <c r="G24" s="80">
        <v>18864307986.0476</v>
      </c>
      <c r="H24" s="79"/>
      <c r="I24" s="80">
        <v>0</v>
      </c>
      <c r="J24" s="79"/>
      <c r="K24" s="80">
        <v>0</v>
      </c>
      <c r="L24" s="79"/>
      <c r="M24" s="80">
        <v>0</v>
      </c>
      <c r="N24" s="79"/>
      <c r="O24" s="80">
        <v>0</v>
      </c>
      <c r="P24" s="81"/>
      <c r="Q24" s="80">
        <v>3144957</v>
      </c>
      <c r="R24" s="79"/>
      <c r="S24" s="80">
        <v>4928</v>
      </c>
      <c r="T24" s="79"/>
      <c r="U24" s="80">
        <v>17152112059</v>
      </c>
      <c r="V24" s="82"/>
      <c r="W24" s="80">
        <v>15378545865</v>
      </c>
      <c r="X24" s="82"/>
      <c r="Y24" s="83">
        <f t="shared" si="0"/>
        <v>0.86348893665745863</v>
      </c>
      <c r="Z24" s="23"/>
      <c r="AA24" s="23"/>
    </row>
    <row r="25" spans="1:27" ht="21.75" customHeight="1">
      <c r="A25" s="12" t="s">
        <v>23</v>
      </c>
      <c r="C25" s="80">
        <v>375619</v>
      </c>
      <c r="D25" s="79"/>
      <c r="E25" s="80">
        <v>1457014160</v>
      </c>
      <c r="F25" s="79"/>
      <c r="G25" s="80">
        <v>1549378188</v>
      </c>
      <c r="H25" s="79"/>
      <c r="I25" s="80">
        <v>0</v>
      </c>
      <c r="J25" s="79"/>
      <c r="K25" s="80">
        <v>0</v>
      </c>
      <c r="L25" s="79"/>
      <c r="M25" s="80">
        <v>0</v>
      </c>
      <c r="N25" s="79"/>
      <c r="O25" s="80">
        <v>0</v>
      </c>
      <c r="P25" s="81"/>
      <c r="Q25" s="80">
        <v>375619</v>
      </c>
      <c r="R25" s="79"/>
      <c r="S25" s="80">
        <v>3336</v>
      </c>
      <c r="T25" s="79"/>
      <c r="U25" s="80">
        <v>1457014160</v>
      </c>
      <c r="V25" s="82"/>
      <c r="W25" s="80">
        <v>1243378791</v>
      </c>
      <c r="X25" s="82"/>
      <c r="Y25" s="83">
        <f t="shared" si="0"/>
        <v>6.9814392045123741E-2</v>
      </c>
      <c r="Z25" s="23"/>
      <c r="AA25" s="23"/>
    </row>
    <row r="26" spans="1:27" ht="21.75" customHeight="1">
      <c r="A26" s="12" t="s">
        <v>24</v>
      </c>
      <c r="C26" s="80">
        <v>6026569</v>
      </c>
      <c r="D26" s="79"/>
      <c r="E26" s="80">
        <v>106275159070</v>
      </c>
      <c r="F26" s="79"/>
      <c r="G26" s="80">
        <v>113440289302.321</v>
      </c>
      <c r="H26" s="79"/>
      <c r="I26" s="80">
        <v>0</v>
      </c>
      <c r="J26" s="79"/>
      <c r="K26" s="80">
        <v>0</v>
      </c>
      <c r="L26" s="79"/>
      <c r="M26" s="80">
        <v>0</v>
      </c>
      <c r="N26" s="79"/>
      <c r="O26" s="80">
        <v>0</v>
      </c>
      <c r="P26" s="81"/>
      <c r="Q26" s="80">
        <v>6026569</v>
      </c>
      <c r="R26" s="79"/>
      <c r="S26" s="80">
        <v>15176</v>
      </c>
      <c r="T26" s="79"/>
      <c r="U26" s="80">
        <v>106275159070</v>
      </c>
      <c r="V26" s="82"/>
      <c r="W26" s="80">
        <v>90752231441</v>
      </c>
      <c r="X26" s="82"/>
      <c r="Y26" s="83">
        <f t="shared" si="0"/>
        <v>5.0956409347276521</v>
      </c>
      <c r="Z26" s="23"/>
      <c r="AA26" s="23"/>
    </row>
    <row r="27" spans="1:27" ht="21.75" customHeight="1">
      <c r="A27" s="12" t="s">
        <v>25</v>
      </c>
      <c r="C27" s="80">
        <v>198243</v>
      </c>
      <c r="D27" s="79"/>
      <c r="E27" s="80">
        <v>6663887337</v>
      </c>
      <c r="F27" s="79"/>
      <c r="G27" s="80">
        <v>7451396831</v>
      </c>
      <c r="H27" s="79"/>
      <c r="I27" s="80">
        <v>0</v>
      </c>
      <c r="J27" s="79"/>
      <c r="K27" s="80">
        <v>0</v>
      </c>
      <c r="L27" s="79"/>
      <c r="M27" s="80">
        <v>0</v>
      </c>
      <c r="N27" s="79"/>
      <c r="O27" s="80">
        <v>0</v>
      </c>
      <c r="P27" s="81"/>
      <c r="Q27" s="80">
        <v>198243</v>
      </c>
      <c r="R27" s="79"/>
      <c r="S27" s="80">
        <v>30304</v>
      </c>
      <c r="T27" s="79"/>
      <c r="U27" s="80">
        <v>6663887337</v>
      </c>
      <c r="V27" s="82"/>
      <c r="W27" s="80">
        <v>5961117465.1094398</v>
      </c>
      <c r="X27" s="82"/>
      <c r="Y27" s="83">
        <f t="shared" si="0"/>
        <v>0.33471038331084468</v>
      </c>
      <c r="Z27" s="23"/>
      <c r="AA27" s="23"/>
    </row>
    <row r="28" spans="1:27" ht="21.75" customHeight="1">
      <c r="A28" s="12" t="s">
        <v>26</v>
      </c>
      <c r="C28" s="80">
        <v>51902068</v>
      </c>
      <c r="D28" s="79"/>
      <c r="E28" s="80">
        <v>429990684945</v>
      </c>
      <c r="F28" s="79"/>
      <c r="G28" s="80">
        <v>540759082650</v>
      </c>
      <c r="H28" s="79"/>
      <c r="I28" s="80">
        <v>0</v>
      </c>
      <c r="J28" s="79"/>
      <c r="K28" s="80">
        <v>0</v>
      </c>
      <c r="L28" s="79"/>
      <c r="M28" s="80">
        <v>-704000</v>
      </c>
      <c r="N28" s="79"/>
      <c r="O28" s="80">
        <v>0</v>
      </c>
      <c r="P28" s="81"/>
      <c r="Q28" s="80">
        <v>51198068</v>
      </c>
      <c r="R28" s="79"/>
      <c r="S28" s="80">
        <v>6300</v>
      </c>
      <c r="T28" s="79"/>
      <c r="U28" s="80">
        <v>424158288398</v>
      </c>
      <c r="V28" s="82"/>
      <c r="W28" s="80">
        <v>320054533686</v>
      </c>
      <c r="X28" s="82"/>
      <c r="Y28" s="83">
        <f t="shared" si="0"/>
        <v>17.970720469345423</v>
      </c>
      <c r="Z28" s="23"/>
      <c r="AA28" s="23"/>
    </row>
    <row r="29" spans="1:27" ht="21.75" customHeight="1">
      <c r="A29" s="12" t="s">
        <v>27</v>
      </c>
      <c r="C29" s="80">
        <v>17812437</v>
      </c>
      <c r="D29" s="79"/>
      <c r="E29" s="80">
        <v>42239676858</v>
      </c>
      <c r="F29" s="79"/>
      <c r="G29" s="80">
        <v>60041115090</v>
      </c>
      <c r="H29" s="79"/>
      <c r="I29" s="80">
        <v>0</v>
      </c>
      <c r="J29" s="79"/>
      <c r="K29" s="80">
        <v>0</v>
      </c>
      <c r="L29" s="79"/>
      <c r="M29" s="80">
        <v>0</v>
      </c>
      <c r="N29" s="79"/>
      <c r="O29" s="80">
        <v>0</v>
      </c>
      <c r="P29" s="81"/>
      <c r="Q29" s="80">
        <v>17812437</v>
      </c>
      <c r="R29" s="79"/>
      <c r="S29" s="80">
        <v>2800</v>
      </c>
      <c r="T29" s="79"/>
      <c r="U29" s="80">
        <v>42239676858</v>
      </c>
      <c r="V29" s="82"/>
      <c r="W29" s="80">
        <v>49489291213</v>
      </c>
      <c r="X29" s="82"/>
      <c r="Y29" s="83">
        <f t="shared" si="0"/>
        <v>2.7787708812379757</v>
      </c>
      <c r="Z29" s="23"/>
      <c r="AA29" s="23"/>
    </row>
    <row r="30" spans="1:27" ht="21.75" customHeight="1">
      <c r="A30" s="12" t="s">
        <v>28</v>
      </c>
      <c r="C30" s="80">
        <v>36955535</v>
      </c>
      <c r="D30" s="79"/>
      <c r="E30" s="80">
        <v>71358229564</v>
      </c>
      <c r="F30" s="79"/>
      <c r="G30" s="80">
        <v>51667845018</v>
      </c>
      <c r="H30" s="79"/>
      <c r="I30" s="80">
        <v>0</v>
      </c>
      <c r="J30" s="79"/>
      <c r="K30" s="80">
        <v>0</v>
      </c>
      <c r="L30" s="79"/>
      <c r="M30" s="80">
        <v>0</v>
      </c>
      <c r="N30" s="79"/>
      <c r="O30" s="80">
        <v>0</v>
      </c>
      <c r="P30" s="81"/>
      <c r="Q30" s="80">
        <v>36955535</v>
      </c>
      <c r="R30" s="79"/>
      <c r="S30" s="80">
        <v>1127.2</v>
      </c>
      <c r="T30" s="79"/>
      <c r="U30" s="80">
        <v>71358229564</v>
      </c>
      <c r="V30" s="82"/>
      <c r="W30" s="80">
        <v>41334276014</v>
      </c>
      <c r="X30" s="82"/>
      <c r="Y30" s="83">
        <f t="shared" si="0"/>
        <v>2.3208754817362411</v>
      </c>
      <c r="Z30" s="23"/>
      <c r="AA30" s="23"/>
    </row>
    <row r="31" spans="1:27" ht="21.75" customHeight="1">
      <c r="A31" s="12" t="s">
        <v>29</v>
      </c>
      <c r="C31" s="80">
        <v>11329785</v>
      </c>
      <c r="D31" s="79"/>
      <c r="E31" s="80">
        <v>247031855953</v>
      </c>
      <c r="F31" s="79"/>
      <c r="G31" s="80">
        <v>303651977630</v>
      </c>
      <c r="H31" s="79"/>
      <c r="I31" s="80">
        <v>0</v>
      </c>
      <c r="J31" s="79"/>
      <c r="K31" s="80">
        <v>0</v>
      </c>
      <c r="L31" s="79"/>
      <c r="M31" s="80">
        <v>0</v>
      </c>
      <c r="N31" s="79"/>
      <c r="O31" s="80">
        <v>0</v>
      </c>
      <c r="P31" s="81"/>
      <c r="Q31" s="80">
        <v>11329785</v>
      </c>
      <c r="R31" s="79"/>
      <c r="S31" s="80">
        <v>18907</v>
      </c>
      <c r="T31" s="79"/>
      <c r="U31" s="80">
        <v>247031855953</v>
      </c>
      <c r="V31" s="82"/>
      <c r="W31" s="80">
        <v>212556384341.189</v>
      </c>
      <c r="X31" s="82"/>
      <c r="Y31" s="83">
        <f t="shared" si="0"/>
        <v>11.934814117389724</v>
      </c>
      <c r="Z31" s="23"/>
      <c r="AA31" s="23"/>
    </row>
    <row r="32" spans="1:27" ht="21.75" customHeight="1">
      <c r="A32" s="12" t="s">
        <v>30</v>
      </c>
      <c r="C32" s="80">
        <v>8628591</v>
      </c>
      <c r="D32" s="79"/>
      <c r="E32" s="80">
        <v>26355964900</v>
      </c>
      <c r="F32" s="79"/>
      <c r="G32" s="80">
        <v>24058916496</v>
      </c>
      <c r="H32" s="79"/>
      <c r="I32" s="80">
        <v>0</v>
      </c>
      <c r="J32" s="79"/>
      <c r="K32" s="80">
        <v>0</v>
      </c>
      <c r="L32" s="79"/>
      <c r="M32" s="80">
        <v>0</v>
      </c>
      <c r="N32" s="79"/>
      <c r="O32" s="80">
        <v>0</v>
      </c>
      <c r="P32" s="81"/>
      <c r="Q32" s="80">
        <v>8628591</v>
      </c>
      <c r="R32" s="79"/>
      <c r="S32" s="80">
        <v>2316</v>
      </c>
      <c r="T32" s="79"/>
      <c r="U32" s="80">
        <v>26355964900</v>
      </c>
      <c r="V32" s="82"/>
      <c r="W32" s="80">
        <v>19829341852</v>
      </c>
      <c r="X32" s="82"/>
      <c r="Y32" s="83">
        <f t="shared" si="0"/>
        <v>1.1133963809523497</v>
      </c>
      <c r="Z32" s="23"/>
      <c r="AA32" s="23"/>
    </row>
    <row r="33" spans="1:27" ht="21.75" customHeight="1">
      <c r="A33" s="12" t="s">
        <v>31</v>
      </c>
      <c r="C33" s="80">
        <v>392907</v>
      </c>
      <c r="D33" s="79"/>
      <c r="E33" s="80">
        <v>6528136794</v>
      </c>
      <c r="F33" s="79"/>
      <c r="G33" s="80">
        <v>8089798949</v>
      </c>
      <c r="H33" s="79"/>
      <c r="I33" s="80">
        <v>0</v>
      </c>
      <c r="J33" s="79"/>
      <c r="K33" s="80">
        <v>0</v>
      </c>
      <c r="L33" s="79"/>
      <c r="M33" s="80">
        <v>0</v>
      </c>
      <c r="N33" s="79"/>
      <c r="O33" s="80">
        <v>0</v>
      </c>
      <c r="P33" s="81"/>
      <c r="Q33" s="80">
        <v>392907</v>
      </c>
      <c r="R33" s="79"/>
      <c r="S33" s="80">
        <v>16600</v>
      </c>
      <c r="T33" s="79"/>
      <c r="U33" s="80">
        <v>6528136794</v>
      </c>
      <c r="V33" s="82"/>
      <c r="W33" s="80">
        <v>6471839159</v>
      </c>
      <c r="X33" s="82"/>
      <c r="Y33" s="83">
        <f t="shared" si="0"/>
        <v>0.36338686132487669</v>
      </c>
      <c r="Z33" s="23"/>
      <c r="AA33" s="23"/>
    </row>
    <row r="34" spans="1:27" ht="21.75" customHeight="1">
      <c r="A34" s="12" t="s">
        <v>32</v>
      </c>
      <c r="C34" s="80">
        <v>1200000</v>
      </c>
      <c r="D34" s="79"/>
      <c r="E34" s="80">
        <v>19657750724</v>
      </c>
      <c r="F34" s="79"/>
      <c r="G34" s="80">
        <v>20766226560</v>
      </c>
      <c r="H34" s="79"/>
      <c r="I34" s="80">
        <v>0</v>
      </c>
      <c r="J34" s="79"/>
      <c r="K34" s="80">
        <v>0</v>
      </c>
      <c r="L34" s="79"/>
      <c r="M34" s="80">
        <v>0</v>
      </c>
      <c r="N34" s="79"/>
      <c r="O34" s="80">
        <v>0</v>
      </c>
      <c r="P34" s="81"/>
      <c r="Q34" s="80">
        <v>1200000</v>
      </c>
      <c r="R34" s="79"/>
      <c r="S34" s="80">
        <v>15872</v>
      </c>
      <c r="T34" s="79"/>
      <c r="U34" s="80">
        <v>19657750724</v>
      </c>
      <c r="V34" s="82"/>
      <c r="W34" s="80">
        <v>18899171328</v>
      </c>
      <c r="X34" s="82"/>
      <c r="Y34" s="83">
        <f t="shared" si="0"/>
        <v>1.0611682988092352</v>
      </c>
      <c r="Z34" s="23"/>
      <c r="AA34" s="23"/>
    </row>
    <row r="35" spans="1:27" ht="21.75" customHeight="1">
      <c r="A35" s="12" t="s">
        <v>33</v>
      </c>
      <c r="C35" s="80">
        <v>3114035</v>
      </c>
      <c r="D35" s="79"/>
      <c r="E35" s="80">
        <v>15357083836</v>
      </c>
      <c r="F35" s="79"/>
      <c r="G35" s="80">
        <v>10243229033</v>
      </c>
      <c r="H35" s="79"/>
      <c r="I35" s="80">
        <v>0</v>
      </c>
      <c r="J35" s="79"/>
      <c r="K35" s="80">
        <v>0</v>
      </c>
      <c r="L35" s="79"/>
      <c r="M35" s="80">
        <v>0</v>
      </c>
      <c r="N35" s="79"/>
      <c r="O35" s="80">
        <v>0</v>
      </c>
      <c r="P35" s="81"/>
      <c r="Q35" s="80">
        <v>3114035</v>
      </c>
      <c r="R35" s="79"/>
      <c r="S35" s="80">
        <v>2674</v>
      </c>
      <c r="T35" s="79"/>
      <c r="U35" s="80">
        <v>15357083836</v>
      </c>
      <c r="V35" s="82"/>
      <c r="W35" s="80">
        <v>8262562424</v>
      </c>
      <c r="X35" s="82"/>
      <c r="Y35" s="83">
        <f t="shared" si="0"/>
        <v>0.46393406139935023</v>
      </c>
      <c r="Z35" s="23"/>
      <c r="AA35" s="23"/>
    </row>
    <row r="36" spans="1:27" ht="21.75" customHeight="1">
      <c r="A36" s="12" t="s">
        <v>34</v>
      </c>
      <c r="C36" s="80">
        <v>1043418</v>
      </c>
      <c r="D36" s="79"/>
      <c r="E36" s="80">
        <v>10440977897</v>
      </c>
      <c r="F36" s="79"/>
      <c r="G36" s="80">
        <v>12724480736</v>
      </c>
      <c r="H36" s="79"/>
      <c r="I36" s="80">
        <v>0</v>
      </c>
      <c r="J36" s="79"/>
      <c r="K36" s="80">
        <v>0</v>
      </c>
      <c r="L36" s="79"/>
      <c r="M36" s="80">
        <v>0</v>
      </c>
      <c r="N36" s="79"/>
      <c r="O36" s="80">
        <v>0</v>
      </c>
      <c r="P36" s="81"/>
      <c r="Q36" s="80">
        <v>1043418</v>
      </c>
      <c r="R36" s="79"/>
      <c r="S36" s="80">
        <v>10208</v>
      </c>
      <c r="T36" s="79"/>
      <c r="U36" s="80">
        <v>10440977897</v>
      </c>
      <c r="V36" s="82"/>
      <c r="W36" s="80">
        <v>10568877083</v>
      </c>
      <c r="X36" s="82"/>
      <c r="Y36" s="83">
        <f t="shared" si="0"/>
        <v>0.59343116795152551</v>
      </c>
      <c r="Z36" s="23"/>
      <c r="AA36" s="23"/>
    </row>
    <row r="37" spans="1:27" ht="21.75" customHeight="1">
      <c r="A37" s="12" t="s">
        <v>156</v>
      </c>
      <c r="C37" s="80">
        <v>750000</v>
      </c>
      <c r="D37" s="79"/>
      <c r="E37" s="80">
        <v>6091062303</v>
      </c>
      <c r="F37" s="79"/>
      <c r="G37" s="80">
        <v>6556424025</v>
      </c>
      <c r="H37" s="79"/>
      <c r="I37" s="80">
        <v>0</v>
      </c>
      <c r="J37" s="79"/>
      <c r="K37" s="80">
        <v>0</v>
      </c>
      <c r="L37" s="79"/>
      <c r="M37" s="80">
        <v>0</v>
      </c>
      <c r="N37" s="79"/>
      <c r="O37" s="80">
        <v>0</v>
      </c>
      <c r="P37" s="81"/>
      <c r="Q37" s="80">
        <v>750000</v>
      </c>
      <c r="R37" s="79"/>
      <c r="S37" s="80">
        <v>7264</v>
      </c>
      <c r="T37" s="79"/>
      <c r="U37" s="80">
        <v>6091062303</v>
      </c>
      <c r="V37" s="82"/>
      <c r="W37" s="80">
        <v>5405886960</v>
      </c>
      <c r="X37" s="82"/>
      <c r="Y37" s="83">
        <f t="shared" si="0"/>
        <v>0.30353478305153281</v>
      </c>
      <c r="Z37" s="23"/>
      <c r="AA37" s="23"/>
    </row>
    <row r="38" spans="1:27" ht="21.75" customHeight="1">
      <c r="A38" s="12" t="s">
        <v>35</v>
      </c>
      <c r="C38" s="80">
        <v>1761676</v>
      </c>
      <c r="D38" s="79"/>
      <c r="E38" s="80">
        <v>15412654051</v>
      </c>
      <c r="F38" s="79"/>
      <c r="G38" s="80">
        <v>10855441698</v>
      </c>
      <c r="H38" s="79"/>
      <c r="I38" s="80">
        <v>0</v>
      </c>
      <c r="J38" s="79"/>
      <c r="K38" s="80">
        <v>0</v>
      </c>
      <c r="L38" s="79"/>
      <c r="M38" s="80">
        <v>0</v>
      </c>
      <c r="N38" s="79"/>
      <c r="O38" s="80">
        <v>0</v>
      </c>
      <c r="P38" s="81"/>
      <c r="Q38" s="80">
        <v>1761676</v>
      </c>
      <c r="R38" s="79"/>
      <c r="S38" s="80">
        <v>4776</v>
      </c>
      <c r="T38" s="79"/>
      <c r="U38" s="80">
        <v>15412654051</v>
      </c>
      <c r="V38" s="82"/>
      <c r="W38" s="80">
        <v>8348726175</v>
      </c>
      <c r="X38" s="82"/>
      <c r="Y38" s="83">
        <f t="shared" si="0"/>
        <v>0.46877206405464278</v>
      </c>
      <c r="Z38" s="23"/>
      <c r="AA38" s="23"/>
    </row>
    <row r="39" spans="1:27" ht="21.75" customHeight="1">
      <c r="A39" s="12" t="s">
        <v>36</v>
      </c>
      <c r="C39" s="80">
        <v>8932996</v>
      </c>
      <c r="D39" s="79"/>
      <c r="E39" s="80">
        <v>39899063941</v>
      </c>
      <c r="F39" s="79"/>
      <c r="G39" s="80">
        <v>64440872450</v>
      </c>
      <c r="H39" s="79"/>
      <c r="I39" s="80">
        <v>0</v>
      </c>
      <c r="J39" s="79"/>
      <c r="K39" s="80">
        <v>0</v>
      </c>
      <c r="L39" s="79"/>
      <c r="M39" s="80">
        <v>0</v>
      </c>
      <c r="N39" s="79"/>
      <c r="O39" s="80">
        <v>0</v>
      </c>
      <c r="P39" s="81"/>
      <c r="Q39" s="80">
        <v>8932996</v>
      </c>
      <c r="R39" s="79"/>
      <c r="S39" s="80">
        <v>5832</v>
      </c>
      <c r="T39" s="79"/>
      <c r="U39" s="80">
        <v>39899063941</v>
      </c>
      <c r="V39" s="82"/>
      <c r="W39" s="80">
        <v>51694521063</v>
      </c>
      <c r="X39" s="82"/>
      <c r="Y39" s="83">
        <f t="shared" si="0"/>
        <v>2.9025921836535398</v>
      </c>
      <c r="Z39" s="23"/>
      <c r="AA39" s="23"/>
    </row>
    <row r="40" spans="1:27" ht="21.75" customHeight="1">
      <c r="A40" s="12" t="s">
        <v>157</v>
      </c>
      <c r="C40" s="80">
        <v>0</v>
      </c>
      <c r="D40" s="79"/>
      <c r="E40" s="84">
        <v>0</v>
      </c>
      <c r="F40" s="79"/>
      <c r="G40" s="84">
        <v>0</v>
      </c>
      <c r="H40" s="79"/>
      <c r="I40" s="80">
        <v>2573729</v>
      </c>
      <c r="J40" s="79"/>
      <c r="K40" s="80">
        <v>26675019271</v>
      </c>
      <c r="L40" s="79"/>
      <c r="M40" s="80">
        <v>0</v>
      </c>
      <c r="N40" s="79"/>
      <c r="O40" s="80">
        <v>0</v>
      </c>
      <c r="P40" s="81"/>
      <c r="Q40" s="80">
        <v>2573729</v>
      </c>
      <c r="R40" s="79"/>
      <c r="S40" s="80">
        <v>10770</v>
      </c>
      <c r="T40" s="79"/>
      <c r="U40" s="80">
        <v>26675019271</v>
      </c>
      <c r="V40" s="82"/>
      <c r="W40" s="80">
        <v>27504792985</v>
      </c>
      <c r="X40" s="82"/>
      <c r="Y40" s="83">
        <f t="shared" si="0"/>
        <v>1.5443647699912866</v>
      </c>
      <c r="Z40" s="23"/>
      <c r="AA40" s="23"/>
    </row>
    <row r="41" spans="1:27" ht="21.75" customHeight="1" thickBot="1">
      <c r="A41" s="20"/>
      <c r="B41" s="20"/>
      <c r="C41" s="85"/>
      <c r="D41" s="81"/>
      <c r="E41" s="86">
        <f>SUM(E9:E40)</f>
        <v>1846447724649</v>
      </c>
      <c r="F41" s="81"/>
      <c r="G41" s="86">
        <f>SUM(G9:G40)</f>
        <v>2245686393772.4004</v>
      </c>
      <c r="H41" s="81"/>
      <c r="I41" s="85"/>
      <c r="J41" s="81"/>
      <c r="K41" s="86">
        <f>SUM(K9:K40)</f>
        <v>26675019271</v>
      </c>
      <c r="L41" s="81"/>
      <c r="M41" s="85"/>
      <c r="N41" s="81"/>
      <c r="O41" s="86">
        <f>SUM(O9:O40)</f>
        <v>2</v>
      </c>
      <c r="P41" s="81"/>
      <c r="Q41" s="85"/>
      <c r="R41" s="81"/>
      <c r="S41" s="85"/>
      <c r="T41" s="81"/>
      <c r="U41" s="86">
        <f>SUM(U9:U40)</f>
        <v>1867290332438</v>
      </c>
      <c r="V41" s="81"/>
      <c r="W41" s="86">
        <f>SUM(W9:W40)</f>
        <v>1564080525289.489</v>
      </c>
      <c r="X41" s="82"/>
      <c r="Y41" s="87">
        <f>SUM(Y9:Y40)</f>
        <v>87.821452137591976</v>
      </c>
    </row>
    <row r="42" spans="1:27" ht="13.5" thickTop="1"/>
    <row r="43" spans="1:27">
      <c r="E43" s="23"/>
      <c r="G43" s="23"/>
      <c r="U43" s="69"/>
      <c r="W43" s="69"/>
    </row>
    <row r="44" spans="1:27">
      <c r="E44" s="23"/>
      <c r="G44" s="23"/>
      <c r="U44" s="69"/>
      <c r="W44" s="69"/>
    </row>
    <row r="45" spans="1:27">
      <c r="G45" s="23"/>
      <c r="U45" s="69"/>
      <c r="W45" s="69"/>
    </row>
    <row r="46" spans="1:27">
      <c r="U46" s="69"/>
      <c r="W46" s="69"/>
    </row>
    <row r="47" spans="1:27">
      <c r="U47" s="69"/>
    </row>
  </sheetData>
  <mergeCells count="10">
    <mergeCell ref="I6:O6"/>
    <mergeCell ref="Q6:Y6"/>
    <mergeCell ref="I7:K7"/>
    <mergeCell ref="M7:O7"/>
    <mergeCell ref="C6:G6"/>
    <mergeCell ref="A1:Y1"/>
    <mergeCell ref="A2:Y2"/>
    <mergeCell ref="A3:Y3"/>
    <mergeCell ref="A4:Y4"/>
    <mergeCell ref="A5:Y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38AC-37FB-4502-AA5B-27E1E6FF1BBA}">
  <sheetPr>
    <tabColor rgb="FF92D050"/>
    <pageSetUpPr fitToPage="1"/>
  </sheetPr>
  <dimension ref="A1:AW9"/>
  <sheetViews>
    <sheetView rightToLeft="1" view="pageBreakPreview" zoomScale="60" zoomScaleNormal="100" workbookViewId="0">
      <selection activeCell="S50" sqref="S50"/>
    </sheetView>
  </sheetViews>
  <sheetFormatPr defaultRowHeight="12.75"/>
  <cols>
    <col min="1" max="1" width="28.710937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42578125" bestFit="1" customWidth="1"/>
    <col min="49" max="49" width="7.7109375" customWidth="1"/>
    <col min="50" max="50" width="0.28515625" customWidth="1"/>
  </cols>
  <sheetData>
    <row r="1" spans="1:49" ht="25.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</row>
    <row r="2" spans="1:49" ht="25.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</row>
    <row r="3" spans="1:49" ht="25.5">
      <c r="A3" s="110" t="s">
        <v>160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</row>
    <row r="4" spans="1:49" ht="25.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</row>
    <row r="5" spans="1:49" ht="25.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</row>
    <row r="6" spans="1:49" ht="24">
      <c r="A6" s="114" t="s">
        <v>159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</row>
    <row r="7" spans="1:49" ht="21">
      <c r="C7" s="115" t="s">
        <v>151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Y7" s="115" t="s">
        <v>152</v>
      </c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</row>
    <row r="8" spans="1:49" ht="21">
      <c r="A8" s="42" t="s">
        <v>38</v>
      </c>
      <c r="C8" s="4" t="s">
        <v>149</v>
      </c>
      <c r="D8" s="3"/>
      <c r="E8" s="4" t="s">
        <v>142</v>
      </c>
      <c r="F8" s="3"/>
      <c r="G8" s="113" t="s">
        <v>148</v>
      </c>
      <c r="H8" s="113"/>
      <c r="I8" s="113"/>
      <c r="J8" s="3"/>
      <c r="K8" s="113" t="s">
        <v>42</v>
      </c>
      <c r="L8" s="113"/>
      <c r="M8" s="113"/>
      <c r="N8" s="3"/>
      <c r="O8" s="113" t="s">
        <v>39</v>
      </c>
      <c r="P8" s="113"/>
      <c r="Q8" s="113"/>
      <c r="R8" s="3"/>
      <c r="S8" s="113" t="s">
        <v>40</v>
      </c>
      <c r="T8" s="113"/>
      <c r="U8" s="113"/>
      <c r="V8" s="113"/>
      <c r="W8" s="113"/>
      <c r="Y8" s="113" t="s">
        <v>149</v>
      </c>
      <c r="Z8" s="113"/>
      <c r="AA8" s="113"/>
      <c r="AB8" s="113"/>
      <c r="AC8" s="113"/>
      <c r="AD8" s="3"/>
      <c r="AE8" s="113" t="s">
        <v>142</v>
      </c>
      <c r="AF8" s="113"/>
      <c r="AG8" s="113"/>
      <c r="AH8" s="113"/>
      <c r="AI8" s="113"/>
      <c r="AJ8" s="3"/>
      <c r="AK8" s="113" t="s">
        <v>148</v>
      </c>
      <c r="AL8" s="113"/>
      <c r="AM8" s="113"/>
      <c r="AN8" s="3"/>
      <c r="AO8" s="113" t="s">
        <v>42</v>
      </c>
      <c r="AP8" s="113"/>
      <c r="AQ8" s="113"/>
      <c r="AR8" s="3"/>
      <c r="AS8" s="113" t="s">
        <v>39</v>
      </c>
      <c r="AT8" s="113"/>
      <c r="AU8" s="3"/>
      <c r="AV8" s="4" t="s">
        <v>40</v>
      </c>
    </row>
    <row r="9" spans="1:49" ht="18.75">
      <c r="A9" s="5" t="s">
        <v>147</v>
      </c>
      <c r="C9" s="5" t="s">
        <v>146</v>
      </c>
      <c r="E9" s="5" t="s">
        <v>145</v>
      </c>
      <c r="G9" s="116" t="s">
        <v>144</v>
      </c>
      <c r="H9" s="116"/>
      <c r="I9" s="116"/>
      <c r="K9" s="117">
        <v>1012000</v>
      </c>
      <c r="L9" s="117"/>
      <c r="M9" s="117"/>
      <c r="O9" s="117">
        <v>10000</v>
      </c>
      <c r="P9" s="117"/>
      <c r="Q9" s="117"/>
      <c r="S9" s="116" t="s">
        <v>158</v>
      </c>
      <c r="T9" s="116"/>
      <c r="U9" s="116"/>
      <c r="V9" s="116"/>
      <c r="W9" s="116"/>
      <c r="Y9" s="116" t="s">
        <v>146</v>
      </c>
      <c r="Z9" s="116"/>
      <c r="AA9" s="116"/>
      <c r="AB9" s="116"/>
      <c r="AC9" s="116"/>
      <c r="AE9" s="116" t="s">
        <v>144</v>
      </c>
      <c r="AF9" s="116"/>
      <c r="AG9" s="116"/>
      <c r="AH9" s="116"/>
      <c r="AI9" s="116"/>
      <c r="AK9" s="116" t="s">
        <v>144</v>
      </c>
      <c r="AL9" s="116"/>
      <c r="AM9" s="116"/>
      <c r="AO9" s="117">
        <v>0</v>
      </c>
      <c r="AP9" s="117"/>
      <c r="AQ9" s="117"/>
      <c r="AS9" s="117">
        <v>0</v>
      </c>
      <c r="AT9" s="117"/>
      <c r="AV9" s="5" t="s">
        <v>144</v>
      </c>
    </row>
  </sheetData>
  <mergeCells count="24">
    <mergeCell ref="AE9:AI9"/>
    <mergeCell ref="AK9:AM9"/>
    <mergeCell ref="AO9:AQ9"/>
    <mergeCell ref="AS9:AT9"/>
    <mergeCell ref="G9:I9"/>
    <mergeCell ref="K9:M9"/>
    <mergeCell ref="O9:Q9"/>
    <mergeCell ref="S9:W9"/>
    <mergeCell ref="Y9:AC9"/>
    <mergeCell ref="A1:AW1"/>
    <mergeCell ref="A2:AW2"/>
    <mergeCell ref="A3:AW3"/>
    <mergeCell ref="AS8:AT8"/>
    <mergeCell ref="A6:AW6"/>
    <mergeCell ref="C7:W7"/>
    <mergeCell ref="Y7:AV7"/>
    <mergeCell ref="G8:I8"/>
    <mergeCell ref="K8:M8"/>
    <mergeCell ref="O8:Q8"/>
    <mergeCell ref="S8:W8"/>
    <mergeCell ref="Y8:AC8"/>
    <mergeCell ref="AE8:AI8"/>
    <mergeCell ref="AK8:AM8"/>
    <mergeCell ref="AO8:AQ8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M14"/>
  <sheetViews>
    <sheetView rightToLeft="1" view="pageBreakPreview" topLeftCell="D1" zoomScaleNormal="100" zoomScaleSheetLayoutView="100" workbookViewId="0">
      <selection activeCell="K27" sqref="K27"/>
    </sheetView>
  </sheetViews>
  <sheetFormatPr defaultRowHeight="12.75"/>
  <cols>
    <col min="1" max="1" width="60.85546875" bestFit="1" customWidth="1"/>
    <col min="2" max="2" width="1.28515625" customWidth="1"/>
    <col min="3" max="3" width="19.28515625" bestFit="1" customWidth="1"/>
    <col min="4" max="4" width="1.28515625" customWidth="1"/>
    <col min="5" max="5" width="15" bestFit="1" customWidth="1"/>
    <col min="6" max="6" width="1.28515625" customWidth="1"/>
    <col min="7" max="7" width="16" bestFit="1" customWidth="1"/>
    <col min="8" max="8" width="1.28515625" customWidth="1"/>
    <col min="9" max="9" width="13" bestFit="1" customWidth="1"/>
    <col min="10" max="10" width="1.28515625" customWidth="1"/>
    <col min="11" max="11" width="13.42578125" bestFit="1" customWidth="1"/>
    <col min="12" max="12" width="1.28515625" customWidth="1"/>
    <col min="13" max="13" width="12.140625" bestFit="1" customWidth="1"/>
    <col min="14" max="14" width="1.28515625" customWidth="1"/>
    <col min="15" max="15" width="8.28515625" bestFit="1" customWidth="1"/>
    <col min="16" max="16" width="1.28515625" customWidth="1"/>
    <col min="17" max="17" width="16.140625" bestFit="1" customWidth="1"/>
    <col min="18" max="18" width="1.28515625" customWidth="1"/>
    <col min="19" max="19" width="16.42578125" bestFit="1" customWidth="1"/>
    <col min="20" max="20" width="1.28515625" customWidth="1"/>
    <col min="21" max="21" width="6" bestFit="1" customWidth="1"/>
    <col min="22" max="22" width="1.28515625" customWidth="1"/>
    <col min="23" max="23" width="13.85546875" bestFit="1" customWidth="1"/>
    <col min="24" max="24" width="1.28515625" customWidth="1"/>
    <col min="25" max="25" width="7.140625" bestFit="1" customWidth="1"/>
    <col min="26" max="26" width="1.28515625" customWidth="1"/>
    <col min="27" max="27" width="14.85546875" bestFit="1" customWidth="1"/>
    <col min="28" max="28" width="1.28515625" customWidth="1"/>
    <col min="29" max="29" width="8.28515625" bestFit="1" customWidth="1"/>
    <col min="30" max="30" width="1.28515625" customWidth="1"/>
    <col min="31" max="31" width="17" bestFit="1" customWidth="1"/>
    <col min="32" max="32" width="1.28515625" customWidth="1"/>
    <col min="33" max="33" width="16" bestFit="1" customWidth="1"/>
    <col min="34" max="34" width="1.28515625" customWidth="1"/>
    <col min="35" max="35" width="16.42578125" bestFit="1" customWidth="1"/>
    <col min="36" max="36" width="1.28515625" customWidth="1"/>
    <col min="37" max="37" width="19.28515625" bestFit="1" customWidth="1"/>
    <col min="38" max="38" width="0.28515625" customWidth="1"/>
  </cols>
  <sheetData>
    <row r="1" spans="1:39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9" ht="21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</row>
    <row r="3" spans="1:39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39" ht="14.45" customHeight="1"/>
    <row r="5" spans="1:39" ht="24">
      <c r="A5" s="41" t="s">
        <v>120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9" ht="14.45" customHeight="1">
      <c r="A6" s="115" t="s">
        <v>43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21"/>
      <c r="O6" s="115" t="s">
        <v>151</v>
      </c>
      <c r="P6" s="115"/>
      <c r="Q6" s="115"/>
      <c r="R6" s="115"/>
      <c r="S6" s="115"/>
      <c r="U6" s="115" t="s">
        <v>2</v>
      </c>
      <c r="V6" s="115"/>
      <c r="W6" s="115"/>
      <c r="X6" s="115"/>
      <c r="Y6" s="115"/>
      <c r="Z6" s="115"/>
      <c r="AA6" s="115"/>
      <c r="AC6" s="115" t="s">
        <v>152</v>
      </c>
      <c r="AD6" s="115"/>
      <c r="AE6" s="115"/>
      <c r="AF6" s="115"/>
      <c r="AG6" s="115"/>
      <c r="AH6" s="115"/>
      <c r="AI6" s="115"/>
      <c r="AJ6" s="115"/>
      <c r="AK6" s="115"/>
    </row>
    <row r="7" spans="1:39" ht="14.4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113" t="s">
        <v>3</v>
      </c>
      <c r="V7" s="113"/>
      <c r="W7" s="113"/>
      <c r="X7" s="30"/>
      <c r="Y7" s="113" t="s">
        <v>4</v>
      </c>
      <c r="Z7" s="113"/>
      <c r="AA7" s="113"/>
      <c r="AB7" s="31"/>
      <c r="AC7" s="30"/>
      <c r="AD7" s="30"/>
      <c r="AE7" s="30"/>
      <c r="AF7" s="30"/>
      <c r="AG7" s="30"/>
      <c r="AH7" s="30"/>
      <c r="AI7" s="30"/>
      <c r="AJ7" s="30"/>
      <c r="AK7" s="30"/>
    </row>
    <row r="8" spans="1:39" ht="42">
      <c r="A8" s="2" t="s">
        <v>44</v>
      </c>
      <c r="B8" s="31"/>
      <c r="C8" s="2" t="s">
        <v>45</v>
      </c>
      <c r="D8" s="31"/>
      <c r="E8" s="7" t="s">
        <v>46</v>
      </c>
      <c r="F8" s="31"/>
      <c r="G8" s="2" t="s">
        <v>47</v>
      </c>
      <c r="H8" s="31"/>
      <c r="I8" s="2" t="s">
        <v>48</v>
      </c>
      <c r="J8" s="31"/>
      <c r="K8" s="2" t="s">
        <v>49</v>
      </c>
      <c r="L8" s="31"/>
      <c r="M8" s="2" t="s">
        <v>41</v>
      </c>
      <c r="N8" s="31"/>
      <c r="O8" s="2" t="s">
        <v>6</v>
      </c>
      <c r="P8" s="31"/>
      <c r="Q8" s="2" t="s">
        <v>7</v>
      </c>
      <c r="R8" s="31"/>
      <c r="S8" s="2" t="s">
        <v>8</v>
      </c>
      <c r="T8" s="31"/>
      <c r="U8" s="4" t="s">
        <v>6</v>
      </c>
      <c r="V8" s="30"/>
      <c r="W8" s="4" t="s">
        <v>7</v>
      </c>
      <c r="X8" s="31"/>
      <c r="Y8" s="4" t="s">
        <v>6</v>
      </c>
      <c r="Z8" s="30"/>
      <c r="AA8" s="4" t="s">
        <v>9</v>
      </c>
      <c r="AB8" s="31"/>
      <c r="AC8" s="2" t="s">
        <v>6</v>
      </c>
      <c r="AD8" s="31"/>
      <c r="AE8" s="2" t="s">
        <v>10</v>
      </c>
      <c r="AF8" s="31"/>
      <c r="AG8" s="2" t="s">
        <v>7</v>
      </c>
      <c r="AH8" s="31"/>
      <c r="AI8" s="2" t="s">
        <v>8</v>
      </c>
      <c r="AJ8" s="31"/>
      <c r="AK8" s="2" t="s">
        <v>11</v>
      </c>
    </row>
    <row r="9" spans="1:39" ht="21.75" customHeight="1">
      <c r="A9" s="32" t="s">
        <v>50</v>
      </c>
      <c r="B9" s="72"/>
      <c r="C9" s="32" t="s">
        <v>51</v>
      </c>
      <c r="D9" s="72"/>
      <c r="E9" s="32" t="s">
        <v>51</v>
      </c>
      <c r="F9" s="72"/>
      <c r="G9" s="32" t="s">
        <v>52</v>
      </c>
      <c r="H9" s="72"/>
      <c r="I9" s="32" t="s">
        <v>53</v>
      </c>
      <c r="J9" s="72"/>
      <c r="K9" s="33">
        <v>23</v>
      </c>
      <c r="L9" s="72"/>
      <c r="M9" s="33">
        <v>23</v>
      </c>
      <c r="N9" s="94"/>
      <c r="O9" s="95">
        <v>201800</v>
      </c>
      <c r="P9" s="94"/>
      <c r="Q9" s="95">
        <v>201909728748</v>
      </c>
      <c r="R9" s="94"/>
      <c r="S9" s="95">
        <v>201690271250</v>
      </c>
      <c r="T9" s="82"/>
      <c r="U9" s="95">
        <v>2000</v>
      </c>
      <c r="V9" s="94"/>
      <c r="W9" s="95">
        <v>2001087500</v>
      </c>
      <c r="X9" s="94"/>
      <c r="Y9" s="92">
        <v>26700</v>
      </c>
      <c r="Z9" s="94"/>
      <c r="AA9" s="95">
        <v>26685481875</v>
      </c>
      <c r="AB9" s="94"/>
      <c r="AC9" s="95">
        <v>177100</v>
      </c>
      <c r="AD9" s="94"/>
      <c r="AE9" s="95">
        <v>1000000</v>
      </c>
      <c r="AF9" s="94"/>
      <c r="AG9" s="95">
        <v>177196298123</v>
      </c>
      <c r="AH9" s="94"/>
      <c r="AI9" s="95">
        <v>177003701875</v>
      </c>
      <c r="AJ9" s="94"/>
      <c r="AK9" s="96">
        <f>AI9/1780977753407*100</f>
        <v>9.9385689426155359</v>
      </c>
      <c r="AM9" s="40"/>
    </row>
    <row r="10" spans="1:39" ht="19.5" thickBot="1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97"/>
      <c r="O10" s="98"/>
      <c r="P10" s="97"/>
      <c r="Q10" s="99">
        <f>SUM(Q9)</f>
        <v>201909728748</v>
      </c>
      <c r="R10" s="97"/>
      <c r="S10" s="99">
        <f>SUM(S9)</f>
        <v>201690271250</v>
      </c>
      <c r="T10" s="82"/>
      <c r="U10" s="98"/>
      <c r="V10" s="98"/>
      <c r="W10" s="99">
        <f>SUM(W9)</f>
        <v>2001087500</v>
      </c>
      <c r="X10" s="97"/>
      <c r="Y10" s="98"/>
      <c r="Z10" s="97"/>
      <c r="AA10" s="99">
        <f>SUM(AA9)</f>
        <v>26685481875</v>
      </c>
      <c r="AB10" s="97"/>
      <c r="AC10" s="98"/>
      <c r="AD10" s="97"/>
      <c r="AE10" s="97"/>
      <c r="AF10" s="97"/>
      <c r="AG10" s="99">
        <f>SUM(AG9)</f>
        <v>177196298123</v>
      </c>
      <c r="AH10" s="97"/>
      <c r="AI10" s="99">
        <f>SUM(AI9)</f>
        <v>177003701875</v>
      </c>
      <c r="AJ10" s="97"/>
      <c r="AK10" s="100">
        <f>SUM(AK9)</f>
        <v>9.9385689426155359</v>
      </c>
    </row>
    <row r="11" spans="1:39" ht="13.5" thickTop="1">
      <c r="AG11" s="40"/>
    </row>
    <row r="12" spans="1:39">
      <c r="Q12" s="40"/>
      <c r="S12" s="40"/>
      <c r="AG12" s="40"/>
      <c r="AI12" s="40"/>
    </row>
    <row r="13" spans="1:39">
      <c r="AG13" s="40"/>
      <c r="AI13" s="40"/>
    </row>
    <row r="14" spans="1:39">
      <c r="AG14" s="40"/>
      <c r="AI14" s="71"/>
    </row>
  </sheetData>
  <mergeCells count="9">
    <mergeCell ref="U7:W7"/>
    <mergeCell ref="Y7:AA7"/>
    <mergeCell ref="AC6:AK6"/>
    <mergeCell ref="O6:S6"/>
    <mergeCell ref="A1:AK1"/>
    <mergeCell ref="A2:AK2"/>
    <mergeCell ref="A3:AK3"/>
    <mergeCell ref="A6:M6"/>
    <mergeCell ref="U6:AA6"/>
  </mergeCells>
  <pageMargins left="0.39" right="0.39" top="0.39" bottom="0.39" header="0" footer="0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6A8B-CF9C-4996-BA01-F7CCE0B5EA39}">
  <sheetPr>
    <tabColor rgb="FF92D050"/>
    <pageSetUpPr fitToPage="1"/>
  </sheetPr>
  <dimension ref="A1:M42"/>
  <sheetViews>
    <sheetView rightToLeft="1" view="pageBreakPreview" zoomScaleNormal="100" zoomScaleSheetLayoutView="100" workbookViewId="0">
      <selection activeCell="G62" sqref="G62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21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1.75" customHeight="1">
      <c r="A3" s="110" t="s">
        <v>160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4.45" customHeight="1">
      <c r="A4" s="114" t="s">
        <v>175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ht="14.45" customHeight="1">
      <c r="A5" s="114" t="s">
        <v>174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ht="14.45" customHeight="1"/>
    <row r="7" spans="1:13" ht="14.45" customHeight="1">
      <c r="C7" s="115" t="s">
        <v>152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13" ht="14.45" customHeight="1">
      <c r="A8" s="42" t="s">
        <v>173</v>
      </c>
      <c r="C8" s="4" t="s">
        <v>6</v>
      </c>
      <c r="D8" s="3"/>
      <c r="E8" s="4" t="s">
        <v>172</v>
      </c>
      <c r="F8" s="3"/>
      <c r="G8" s="4" t="s">
        <v>171</v>
      </c>
      <c r="H8" s="3"/>
      <c r="I8" s="4" t="s">
        <v>170</v>
      </c>
      <c r="J8" s="3"/>
      <c r="K8" s="4" t="s">
        <v>169</v>
      </c>
      <c r="L8" s="3"/>
      <c r="M8" s="4" t="s">
        <v>168</v>
      </c>
    </row>
    <row r="9" spans="1:13" ht="21.75" customHeight="1">
      <c r="A9" s="5" t="s">
        <v>25</v>
      </c>
      <c r="C9" s="92">
        <v>198243</v>
      </c>
      <c r="E9" s="92">
        <v>37880</v>
      </c>
      <c r="G9" s="92">
        <v>30304</v>
      </c>
      <c r="I9" s="93" t="s">
        <v>161</v>
      </c>
      <c r="K9" s="92">
        <v>6007555872</v>
      </c>
      <c r="M9" s="32" t="s">
        <v>176</v>
      </c>
    </row>
    <row r="10" spans="1:13" ht="21.75" customHeight="1">
      <c r="A10" s="6" t="s">
        <v>30</v>
      </c>
      <c r="C10" s="76">
        <v>8628591</v>
      </c>
      <c r="E10" s="76">
        <v>2894</v>
      </c>
      <c r="G10" s="76">
        <v>2316</v>
      </c>
      <c r="I10" s="91" t="s">
        <v>167</v>
      </c>
      <c r="K10" s="76">
        <v>19983816756</v>
      </c>
      <c r="M10" s="35" t="s">
        <v>176</v>
      </c>
    </row>
    <row r="11" spans="1:13" ht="21.75" customHeight="1">
      <c r="A11" s="6" t="s">
        <v>18</v>
      </c>
      <c r="C11" s="76">
        <v>1019446</v>
      </c>
      <c r="E11" s="76">
        <v>60730</v>
      </c>
      <c r="G11" s="76">
        <v>42511</v>
      </c>
      <c r="I11" s="91" t="s">
        <v>166</v>
      </c>
      <c r="K11" s="76">
        <v>43337668906</v>
      </c>
      <c r="M11" s="35" t="s">
        <v>176</v>
      </c>
    </row>
    <row r="12" spans="1:13" ht="21.75" customHeight="1">
      <c r="A12" s="6" t="s">
        <v>23</v>
      </c>
      <c r="C12" s="76">
        <v>375619</v>
      </c>
      <c r="E12" s="76">
        <v>4170</v>
      </c>
      <c r="G12" s="76">
        <v>3336</v>
      </c>
      <c r="I12" s="91" t="s">
        <v>161</v>
      </c>
      <c r="K12" s="76">
        <v>1253064984</v>
      </c>
      <c r="M12" s="35" t="s">
        <v>176</v>
      </c>
    </row>
    <row r="13" spans="1:13" ht="21.75" customHeight="1">
      <c r="A13" s="6" t="s">
        <v>34</v>
      </c>
      <c r="C13" s="76">
        <v>1043418</v>
      </c>
      <c r="E13" s="76">
        <v>12760</v>
      </c>
      <c r="G13" s="76">
        <v>10208</v>
      </c>
      <c r="I13" s="91" t="s">
        <v>161</v>
      </c>
      <c r="K13" s="76">
        <v>10651210944</v>
      </c>
      <c r="M13" s="35" t="s">
        <v>176</v>
      </c>
    </row>
    <row r="14" spans="1:13" ht="21.75" customHeight="1">
      <c r="A14" s="6" t="s">
        <v>15</v>
      </c>
      <c r="C14" s="76">
        <v>2983927</v>
      </c>
      <c r="E14" s="76">
        <v>4110</v>
      </c>
      <c r="G14" s="76">
        <v>2877</v>
      </c>
      <c r="I14" s="91" t="s">
        <v>166</v>
      </c>
      <c r="K14" s="76">
        <v>8584757979</v>
      </c>
      <c r="M14" s="35" t="s">
        <v>176</v>
      </c>
    </row>
    <row r="15" spans="1:13" ht="21.75" customHeight="1">
      <c r="A15" s="6" t="s">
        <v>17</v>
      </c>
      <c r="C15" s="76">
        <v>138131</v>
      </c>
      <c r="E15" s="76">
        <v>100010</v>
      </c>
      <c r="G15" s="76">
        <v>60006</v>
      </c>
      <c r="I15" s="91" t="s">
        <v>165</v>
      </c>
      <c r="K15" s="76">
        <v>8288688786</v>
      </c>
      <c r="M15" s="35" t="s">
        <v>176</v>
      </c>
    </row>
    <row r="16" spans="1:13" ht="21.75" customHeight="1">
      <c r="A16" s="6" t="s">
        <v>35</v>
      </c>
      <c r="C16" s="76">
        <v>1761676</v>
      </c>
      <c r="E16" s="76">
        <v>5970</v>
      </c>
      <c r="G16" s="76">
        <v>4776</v>
      </c>
      <c r="I16" s="91" t="s">
        <v>161</v>
      </c>
      <c r="K16" s="76">
        <v>8413764576</v>
      </c>
      <c r="M16" s="35" t="s">
        <v>176</v>
      </c>
    </row>
    <row r="17" spans="1:13" ht="21.75" customHeight="1">
      <c r="A17" s="6" t="s">
        <v>32</v>
      </c>
      <c r="C17" s="76">
        <v>1200000</v>
      </c>
      <c r="E17" s="76">
        <v>19840</v>
      </c>
      <c r="G17" s="76">
        <v>15872</v>
      </c>
      <c r="I17" s="91" t="s">
        <v>161</v>
      </c>
      <c r="K17" s="76">
        <v>19046400000</v>
      </c>
      <c r="M17" s="35" t="s">
        <v>176</v>
      </c>
    </row>
    <row r="18" spans="1:13" ht="21.75" customHeight="1">
      <c r="A18" s="6" t="s">
        <v>29</v>
      </c>
      <c r="C18" s="76">
        <v>11329785</v>
      </c>
      <c r="E18" s="76">
        <v>27010</v>
      </c>
      <c r="G18" s="76">
        <v>18907</v>
      </c>
      <c r="I18" s="91" t="s">
        <v>166</v>
      </c>
      <c r="K18" s="76">
        <v>214212244995</v>
      </c>
      <c r="M18" s="35" t="s">
        <v>176</v>
      </c>
    </row>
    <row r="19" spans="1:13" ht="21.75" customHeight="1">
      <c r="A19" s="6" t="s">
        <v>136</v>
      </c>
      <c r="C19" s="76">
        <v>326585</v>
      </c>
      <c r="E19" s="76">
        <v>49450</v>
      </c>
      <c r="G19" s="76">
        <v>29670</v>
      </c>
      <c r="I19" s="91" t="s">
        <v>165</v>
      </c>
      <c r="K19" s="76">
        <v>9689776950</v>
      </c>
      <c r="M19" s="35" t="s">
        <v>176</v>
      </c>
    </row>
    <row r="20" spans="1:13" ht="21.75" customHeight="1">
      <c r="A20" s="6" t="s">
        <v>13</v>
      </c>
      <c r="C20" s="76">
        <v>23692687</v>
      </c>
      <c r="E20" s="76">
        <v>13032</v>
      </c>
      <c r="G20" s="76">
        <v>9122.4</v>
      </c>
      <c r="I20" s="91" t="s">
        <v>166</v>
      </c>
      <c r="K20" s="76">
        <v>216134167888.79999</v>
      </c>
      <c r="M20" s="35" t="s">
        <v>176</v>
      </c>
    </row>
    <row r="21" spans="1:13" ht="21.75" customHeight="1">
      <c r="A21" s="6" t="s">
        <v>26</v>
      </c>
      <c r="C21" s="76">
        <v>51198068</v>
      </c>
      <c r="E21" s="76">
        <v>10500</v>
      </c>
      <c r="G21" s="76">
        <v>6300</v>
      </c>
      <c r="I21" s="91" t="s">
        <v>165</v>
      </c>
      <c r="K21" s="76">
        <v>322547828400</v>
      </c>
      <c r="M21" s="35" t="s">
        <v>176</v>
      </c>
    </row>
    <row r="22" spans="1:13" ht="21.75" customHeight="1">
      <c r="A22" s="6" t="s">
        <v>24</v>
      </c>
      <c r="C22" s="76">
        <v>6026569</v>
      </c>
      <c r="E22" s="76">
        <v>18970</v>
      </c>
      <c r="G22" s="76">
        <v>15176</v>
      </c>
      <c r="I22" s="91" t="s">
        <v>161</v>
      </c>
      <c r="K22" s="76">
        <v>91459211144</v>
      </c>
      <c r="M22" s="35" t="s">
        <v>176</v>
      </c>
    </row>
    <row r="23" spans="1:13" ht="21.75" customHeight="1">
      <c r="A23" s="6" t="s">
        <v>20</v>
      </c>
      <c r="C23" s="76">
        <v>6054099</v>
      </c>
      <c r="E23" s="76">
        <v>9700</v>
      </c>
      <c r="G23" s="76">
        <v>7760</v>
      </c>
      <c r="I23" s="91" t="s">
        <v>161</v>
      </c>
      <c r="K23" s="76">
        <v>46979808240</v>
      </c>
      <c r="M23" s="35" t="s">
        <v>176</v>
      </c>
    </row>
    <row r="24" spans="1:13" ht="21.75" customHeight="1">
      <c r="A24" s="6" t="s">
        <v>154</v>
      </c>
      <c r="C24" s="76">
        <v>147597</v>
      </c>
      <c r="E24" s="76">
        <v>144700</v>
      </c>
      <c r="G24" s="76">
        <v>86820</v>
      </c>
      <c r="I24" s="91" t="s">
        <v>165</v>
      </c>
      <c r="K24" s="76">
        <v>12814371540</v>
      </c>
      <c r="M24" s="35" t="s">
        <v>176</v>
      </c>
    </row>
    <row r="25" spans="1:13" ht="21.75" customHeight="1">
      <c r="A25" s="6" t="s">
        <v>79</v>
      </c>
      <c r="C25" s="76">
        <v>2300000</v>
      </c>
      <c r="E25" s="76">
        <v>43800</v>
      </c>
      <c r="G25" s="76">
        <v>26280</v>
      </c>
      <c r="I25" s="91" t="s">
        <v>165</v>
      </c>
      <c r="K25" s="76">
        <v>60444000000</v>
      </c>
      <c r="M25" s="35" t="s">
        <v>176</v>
      </c>
    </row>
    <row r="26" spans="1:13" ht="21.75" customHeight="1">
      <c r="A26" s="6" t="s">
        <v>22</v>
      </c>
      <c r="C26" s="76">
        <v>3144957</v>
      </c>
      <c r="E26" s="76">
        <v>6160</v>
      </c>
      <c r="G26" s="76">
        <v>4928</v>
      </c>
      <c r="I26" s="91" t="s">
        <v>161</v>
      </c>
      <c r="K26" s="76">
        <v>15498348096</v>
      </c>
      <c r="M26" s="35" t="s">
        <v>176</v>
      </c>
    </row>
    <row r="27" spans="1:13" ht="21.75" customHeight="1">
      <c r="A27" s="6" t="s">
        <v>28</v>
      </c>
      <c r="C27" s="76">
        <v>36955535</v>
      </c>
      <c r="E27" s="76">
        <v>1409</v>
      </c>
      <c r="G27" s="76">
        <v>1127.2</v>
      </c>
      <c r="I27" s="91" t="s">
        <v>161</v>
      </c>
      <c r="K27" s="76">
        <v>41656279052</v>
      </c>
      <c r="M27" s="35" t="s">
        <v>176</v>
      </c>
    </row>
    <row r="28" spans="1:13" ht="21.75" customHeight="1">
      <c r="A28" s="6" t="s">
        <v>31</v>
      </c>
      <c r="C28" s="76">
        <v>392907</v>
      </c>
      <c r="E28" s="76">
        <v>20750</v>
      </c>
      <c r="G28" s="76">
        <v>16600</v>
      </c>
      <c r="I28" s="91" t="s">
        <v>161</v>
      </c>
      <c r="K28" s="76">
        <v>6522256200</v>
      </c>
      <c r="M28" s="35" t="s">
        <v>176</v>
      </c>
    </row>
    <row r="29" spans="1:13" ht="21.75" customHeight="1">
      <c r="A29" s="6" t="s">
        <v>12</v>
      </c>
      <c r="C29" s="76">
        <v>28647873</v>
      </c>
      <c r="E29" s="76">
        <v>2740</v>
      </c>
      <c r="G29" s="76">
        <v>1918</v>
      </c>
      <c r="I29" s="91" t="s">
        <v>166</v>
      </c>
      <c r="K29" s="76">
        <v>54946620414</v>
      </c>
      <c r="M29" s="35" t="s">
        <v>176</v>
      </c>
    </row>
    <row r="30" spans="1:13" ht="21.75" customHeight="1">
      <c r="A30" s="6" t="s">
        <v>16</v>
      </c>
      <c r="C30" s="76">
        <v>3856206</v>
      </c>
      <c r="E30" s="76">
        <v>45600</v>
      </c>
      <c r="G30" s="76">
        <v>31920</v>
      </c>
      <c r="I30" s="91" t="s">
        <v>166</v>
      </c>
      <c r="K30" s="76">
        <v>123090095520</v>
      </c>
      <c r="M30" s="35" t="s">
        <v>176</v>
      </c>
    </row>
    <row r="31" spans="1:13" ht="21.75" customHeight="1">
      <c r="A31" s="6" t="s">
        <v>155</v>
      </c>
      <c r="C31" s="76">
        <v>170686</v>
      </c>
      <c r="E31" s="76">
        <v>161720</v>
      </c>
      <c r="G31" s="76">
        <v>97032</v>
      </c>
      <c r="I31" s="91" t="s">
        <v>165</v>
      </c>
      <c r="K31" s="76">
        <v>16562003952</v>
      </c>
      <c r="M31" s="35" t="s">
        <v>176</v>
      </c>
    </row>
    <row r="32" spans="1:13" ht="21.75" customHeight="1">
      <c r="A32" s="6" t="s">
        <v>36</v>
      </c>
      <c r="C32" s="76">
        <v>8932996</v>
      </c>
      <c r="E32" s="76">
        <v>7290</v>
      </c>
      <c r="G32" s="76">
        <v>5832</v>
      </c>
      <c r="I32" s="91" t="s">
        <v>161</v>
      </c>
      <c r="K32" s="76">
        <v>52097232672</v>
      </c>
      <c r="M32" s="35" t="s">
        <v>176</v>
      </c>
    </row>
    <row r="33" spans="1:13" ht="21.75" customHeight="1">
      <c r="A33" s="6" t="s">
        <v>14</v>
      </c>
      <c r="C33" s="76">
        <v>4741021</v>
      </c>
      <c r="E33" s="76">
        <v>7540</v>
      </c>
      <c r="G33" s="76">
        <v>4524</v>
      </c>
      <c r="I33" s="91" t="s">
        <v>165</v>
      </c>
      <c r="K33" s="76">
        <v>21448379004</v>
      </c>
      <c r="M33" s="35" t="s">
        <v>176</v>
      </c>
    </row>
    <row r="34" spans="1:13" ht="21.75" customHeight="1">
      <c r="A34" s="6" t="s">
        <v>19</v>
      </c>
      <c r="C34" s="76">
        <v>1809644</v>
      </c>
      <c r="E34" s="76">
        <v>30350</v>
      </c>
      <c r="G34" s="76">
        <v>21245</v>
      </c>
      <c r="I34" s="91" t="s">
        <v>166</v>
      </c>
      <c r="K34" s="76">
        <v>38445886780</v>
      </c>
      <c r="M34" s="35" t="s">
        <v>176</v>
      </c>
    </row>
    <row r="35" spans="1:13" ht="21.75" customHeight="1">
      <c r="A35" s="6" t="s">
        <v>153</v>
      </c>
      <c r="C35" s="76">
        <v>400000</v>
      </c>
      <c r="E35" s="76">
        <v>52700</v>
      </c>
      <c r="G35" s="76">
        <v>31620</v>
      </c>
      <c r="I35" s="91" t="s">
        <v>165</v>
      </c>
      <c r="K35" s="76">
        <v>12648000000</v>
      </c>
      <c r="M35" s="35" t="s">
        <v>176</v>
      </c>
    </row>
    <row r="36" spans="1:13" ht="21.75" customHeight="1">
      <c r="A36" s="6" t="s">
        <v>27</v>
      </c>
      <c r="C36" s="76">
        <v>17812437</v>
      </c>
      <c r="E36" s="76">
        <v>3499</v>
      </c>
      <c r="G36" s="76">
        <v>2800</v>
      </c>
      <c r="I36" s="91" t="s">
        <v>164</v>
      </c>
      <c r="K36" s="76">
        <v>49874823600</v>
      </c>
      <c r="M36" s="35" t="s">
        <v>176</v>
      </c>
    </row>
    <row r="37" spans="1:13" ht="21.75" customHeight="1">
      <c r="A37" s="6" t="s">
        <v>33</v>
      </c>
      <c r="C37" s="76">
        <v>3114035</v>
      </c>
      <c r="E37" s="76">
        <v>3342</v>
      </c>
      <c r="G37" s="76">
        <v>2674</v>
      </c>
      <c r="I37" s="91" t="s">
        <v>163</v>
      </c>
      <c r="K37" s="76">
        <v>8326929590</v>
      </c>
      <c r="M37" s="35" t="s">
        <v>176</v>
      </c>
    </row>
    <row r="38" spans="1:13" ht="21.75" customHeight="1">
      <c r="A38" s="6" t="s">
        <v>21</v>
      </c>
      <c r="C38" s="76">
        <v>1600000</v>
      </c>
      <c r="E38" s="76">
        <v>1666</v>
      </c>
      <c r="G38" s="76">
        <v>1333</v>
      </c>
      <c r="I38" s="91" t="s">
        <v>163</v>
      </c>
      <c r="K38" s="76">
        <v>2132800000</v>
      </c>
      <c r="M38" s="35" t="s">
        <v>176</v>
      </c>
    </row>
    <row r="39" spans="1:13" ht="21.75" customHeight="1">
      <c r="A39" s="6" t="s">
        <v>50</v>
      </c>
      <c r="C39" s="76">
        <v>177100</v>
      </c>
      <c r="E39" s="76">
        <v>1000000</v>
      </c>
      <c r="G39" s="76">
        <v>1000000</v>
      </c>
      <c r="I39" s="91" t="s">
        <v>162</v>
      </c>
      <c r="K39" s="76">
        <v>177003701875</v>
      </c>
      <c r="M39" s="35" t="s">
        <v>176</v>
      </c>
    </row>
    <row r="40" spans="1:13" ht="21.75" customHeight="1">
      <c r="A40" s="6" t="s">
        <v>156</v>
      </c>
      <c r="C40" s="76">
        <v>750000</v>
      </c>
      <c r="E40" s="76">
        <v>9080</v>
      </c>
      <c r="G40" s="76">
        <v>7264</v>
      </c>
      <c r="I40" s="91" t="s">
        <v>161</v>
      </c>
      <c r="K40" s="90">
        <v>5448000000</v>
      </c>
      <c r="M40" s="35" t="s">
        <v>176</v>
      </c>
    </row>
    <row r="41" spans="1:13" ht="21.75" customHeight="1" thickBot="1">
      <c r="A41" s="22"/>
      <c r="C41" s="76"/>
      <c r="E41" s="76"/>
      <c r="G41" s="76"/>
      <c r="I41" s="76"/>
      <c r="K41" s="89">
        <f>SUM(K9:K40)</f>
        <v>1725549694715.8</v>
      </c>
      <c r="M41" s="76"/>
    </row>
    <row r="42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3"/>
  <sheetViews>
    <sheetView rightToLeft="1" view="pageBreakPreview" topLeftCell="A4" zoomScale="160" zoomScaleNormal="100" zoomScaleSheetLayoutView="160" workbookViewId="0">
      <selection activeCell="C14" sqref="C14"/>
    </sheetView>
  </sheetViews>
  <sheetFormatPr defaultRowHeight="12.75"/>
  <cols>
    <col min="1" max="1" width="37.7109375" bestFit="1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.8554687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1.75" customHeight="1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4.45" customHeight="1"/>
    <row r="5" spans="1:11" ht="14.45" customHeight="1">
      <c r="A5" s="41" t="s">
        <v>121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4.45" customHeight="1">
      <c r="C6" s="2" t="s">
        <v>151</v>
      </c>
      <c r="E6" s="115" t="s">
        <v>2</v>
      </c>
      <c r="F6" s="115"/>
      <c r="G6" s="115"/>
      <c r="I6" s="118" t="s">
        <v>152</v>
      </c>
      <c r="J6" s="118"/>
      <c r="K6" s="118"/>
    </row>
    <row r="7" spans="1:11" ht="14.45" customHeight="1">
      <c r="A7" s="21" t="s">
        <v>54</v>
      </c>
      <c r="C7" s="2" t="s">
        <v>55</v>
      </c>
      <c r="E7" s="2" t="s">
        <v>56</v>
      </c>
      <c r="G7" s="2" t="s">
        <v>57</v>
      </c>
      <c r="I7" s="2" t="s">
        <v>55</v>
      </c>
      <c r="K7" s="2" t="s">
        <v>11</v>
      </c>
    </row>
    <row r="8" spans="1:11" ht="21" customHeight="1">
      <c r="A8" s="13" t="s">
        <v>137</v>
      </c>
      <c r="C8" s="95">
        <v>28725887</v>
      </c>
      <c r="D8" s="105"/>
      <c r="E8" s="95">
        <v>121987</v>
      </c>
      <c r="F8" s="105"/>
      <c r="G8" s="95">
        <v>27003000</v>
      </c>
      <c r="H8" s="105"/>
      <c r="I8" s="98">
        <f>C8+E8-G8</f>
        <v>1844874</v>
      </c>
      <c r="J8" s="82"/>
      <c r="K8" s="96">
        <f>I8/1780977753407*100</f>
        <v>1.0358770604915008E-4</v>
      </c>
    </row>
    <row r="9" spans="1:11" ht="21" customHeight="1">
      <c r="A9" s="12" t="s">
        <v>138</v>
      </c>
      <c r="C9" s="98">
        <v>315748576</v>
      </c>
      <c r="D9" s="105"/>
      <c r="E9" s="98">
        <v>2694995255</v>
      </c>
      <c r="F9" s="105"/>
      <c r="G9" s="98">
        <v>2852255071</v>
      </c>
      <c r="H9" s="105"/>
      <c r="I9" s="98">
        <f t="shared" ref="I9:I11" si="0">C9+E9-G9</f>
        <v>158488760</v>
      </c>
      <c r="J9" s="82"/>
      <c r="K9" s="96">
        <f t="shared" ref="K9:K11" si="1">I9/1780977753407*100</f>
        <v>8.8989747175006496E-3</v>
      </c>
    </row>
    <row r="10" spans="1:11" ht="21" customHeight="1">
      <c r="A10" s="12" t="s">
        <v>139</v>
      </c>
      <c r="C10" s="98">
        <v>516747</v>
      </c>
      <c r="D10" s="105"/>
      <c r="E10" s="98">
        <v>0</v>
      </c>
      <c r="F10" s="105"/>
      <c r="G10" s="98">
        <v>516747</v>
      </c>
      <c r="H10" s="105"/>
      <c r="I10" s="98">
        <f t="shared" si="0"/>
        <v>0</v>
      </c>
      <c r="J10" s="82"/>
      <c r="K10" s="96">
        <f t="shared" si="1"/>
        <v>0</v>
      </c>
    </row>
    <row r="11" spans="1:11" ht="21" customHeight="1">
      <c r="A11" s="12" t="s">
        <v>140</v>
      </c>
      <c r="C11" s="98">
        <v>9274000</v>
      </c>
      <c r="D11" s="105"/>
      <c r="E11" s="98">
        <v>0</v>
      </c>
      <c r="F11" s="105"/>
      <c r="G11" s="98">
        <v>0</v>
      </c>
      <c r="H11" s="105"/>
      <c r="I11" s="98">
        <f t="shared" si="0"/>
        <v>9274000</v>
      </c>
      <c r="J11" s="82"/>
      <c r="K11" s="96">
        <f t="shared" si="1"/>
        <v>5.2072520177519864E-4</v>
      </c>
    </row>
    <row r="12" spans="1:11" ht="21.75" customHeight="1" thickBot="1">
      <c r="A12" s="20"/>
      <c r="C12" s="106">
        <f>SUM(C8:C11)</f>
        <v>354265210</v>
      </c>
      <c r="D12" s="105"/>
      <c r="E12" s="106">
        <f>SUM(E8:E11)</f>
        <v>2695117242</v>
      </c>
      <c r="F12" s="105"/>
      <c r="G12" s="106">
        <f>SUM(G8:G11)</f>
        <v>2879774818</v>
      </c>
      <c r="H12" s="105"/>
      <c r="I12" s="106">
        <f>SUM(I8:I11)</f>
        <v>169607634</v>
      </c>
      <c r="J12" s="82"/>
      <c r="K12" s="107">
        <f>SUM(K8:K11)</f>
        <v>9.5232876253249985E-3</v>
      </c>
    </row>
    <row r="13" spans="1:11" ht="13.5" thickTop="1">
      <c r="C13" s="40"/>
      <c r="I13" s="40"/>
    </row>
  </sheetData>
  <mergeCells count="5">
    <mergeCell ref="E6:G6"/>
    <mergeCell ref="A1:K1"/>
    <mergeCell ref="A2:K2"/>
    <mergeCell ref="A3:K3"/>
    <mergeCell ref="I6:K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S16"/>
  <sheetViews>
    <sheetView rightToLeft="1" view="pageBreakPreview" zoomScaleNormal="100" zoomScaleSheetLayoutView="100" workbookViewId="0">
      <selection activeCell="F13" sqref="F1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.42578125" hidden="1" customWidth="1"/>
    <col min="13" max="13" width="15.42578125" hidden="1" customWidth="1"/>
    <col min="14" max="14" width="15.42578125" bestFit="1" customWidth="1"/>
    <col min="15" max="16" width="14.85546875" bestFit="1" customWidth="1"/>
    <col min="17" max="18" width="15.42578125" bestFit="1" customWidth="1"/>
    <col min="19" max="19" width="14.42578125" bestFit="1" customWidth="1"/>
  </cols>
  <sheetData>
    <row r="1" spans="1:19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9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9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9" ht="14.45" customHeight="1"/>
    <row r="5" spans="1:19" ht="29.1" customHeight="1">
      <c r="A5" s="1" t="s">
        <v>59</v>
      </c>
      <c r="B5" s="114" t="s">
        <v>60</v>
      </c>
      <c r="C5" s="114"/>
      <c r="D5" s="114"/>
      <c r="E5" s="114"/>
      <c r="F5" s="114"/>
      <c r="G5" s="114"/>
      <c r="H5" s="114"/>
      <c r="I5" s="114"/>
      <c r="J5" s="114"/>
    </row>
    <row r="6" spans="1:19" ht="14.45" customHeight="1"/>
    <row r="7" spans="1:19" ht="14.45" customHeight="1">
      <c r="A7" s="112" t="s">
        <v>61</v>
      </c>
      <c r="B7" s="112"/>
      <c r="D7" s="2" t="s">
        <v>62</v>
      </c>
      <c r="F7" s="2" t="s">
        <v>55</v>
      </c>
      <c r="H7" s="2" t="s">
        <v>63</v>
      </c>
      <c r="J7" s="2" t="s">
        <v>64</v>
      </c>
    </row>
    <row r="8" spans="1:19" ht="21.75" customHeight="1">
      <c r="A8" s="120" t="s">
        <v>65</v>
      </c>
      <c r="B8" s="120"/>
      <c r="C8" s="31"/>
      <c r="D8" s="32" t="s">
        <v>66</v>
      </c>
      <c r="E8" s="31"/>
      <c r="F8" s="78">
        <f>'درآمد سرمایه گذاری در سهام'!S42</f>
        <v>-694381290783</v>
      </c>
      <c r="G8" s="102"/>
      <c r="H8" s="83">
        <f>F8/$F$12*100</f>
        <v>101.5368766565052</v>
      </c>
      <c r="I8" s="102"/>
      <c r="J8" s="83">
        <f>F8/1780977753407*100</f>
        <v>-38.988768357979353</v>
      </c>
      <c r="L8" s="47">
        <f>'درآمد سرمایه گذاری در سهام'!I42</f>
        <v>-694452409965</v>
      </c>
      <c r="M8" s="40">
        <f>'درآمد سرمایه گذاری در سهام'!I42</f>
        <v>-694452409965</v>
      </c>
      <c r="N8" s="40"/>
      <c r="O8" s="40"/>
      <c r="P8" s="40"/>
      <c r="Q8" s="40"/>
      <c r="R8" s="40"/>
      <c r="S8" s="40"/>
    </row>
    <row r="9" spans="1:19" ht="21.75" customHeight="1">
      <c r="A9" s="121" t="s">
        <v>68</v>
      </c>
      <c r="B9" s="121"/>
      <c r="C9" s="31"/>
      <c r="D9" s="35" t="s">
        <v>67</v>
      </c>
      <c r="E9" s="31"/>
      <c r="F9" s="80">
        <f>'درآمد سرمایه گذاری در اوراق'!Q10</f>
        <v>10391832875</v>
      </c>
      <c r="G9" s="102"/>
      <c r="H9" s="83">
        <f>F9/$F$12*100</f>
        <v>-1.5195603148726473</v>
      </c>
      <c r="I9" s="102"/>
      <c r="J9" s="83">
        <f t="shared" ref="J9:J11" si="0">F9/1780977753407*100</f>
        <v>0.5834903246332237</v>
      </c>
      <c r="L9" s="40">
        <f>'درآمد سرمایه گذاری در اوراق'!I10</f>
        <v>5444729051</v>
      </c>
      <c r="M9" s="40">
        <f>'درآمد سرمایه گذاری در اوراق'!I10</f>
        <v>5444729051</v>
      </c>
      <c r="N9" s="40"/>
      <c r="O9" s="40"/>
      <c r="P9" s="40"/>
      <c r="Q9" s="40"/>
    </row>
    <row r="10" spans="1:19" ht="21.75" customHeight="1">
      <c r="A10" s="121" t="s">
        <v>70</v>
      </c>
      <c r="B10" s="121"/>
      <c r="C10" s="31"/>
      <c r="D10" s="35" t="s">
        <v>69</v>
      </c>
      <c r="E10" s="31"/>
      <c r="F10" s="80">
        <f>'درآمد سپرده بانکی'!G11</f>
        <v>1189149</v>
      </c>
      <c r="G10" s="102"/>
      <c r="H10" s="83">
        <f>F10/$F$12*100</f>
        <v>-1.7388497780960452E-4</v>
      </c>
      <c r="I10" s="102"/>
      <c r="J10" s="83">
        <f t="shared" si="0"/>
        <v>6.6769447160424381E-5</v>
      </c>
      <c r="L10" s="40">
        <f>'درآمد سپرده بانکی'!C11</f>
        <v>137070</v>
      </c>
      <c r="M10" s="40">
        <f>'درآمد سپرده بانکی'!C11</f>
        <v>137070</v>
      </c>
      <c r="N10" s="40"/>
    </row>
    <row r="11" spans="1:19" ht="21.75" customHeight="1">
      <c r="A11" s="121" t="s">
        <v>72</v>
      </c>
      <c r="B11" s="121"/>
      <c r="C11" s="31"/>
      <c r="D11" s="35" t="s">
        <v>71</v>
      </c>
      <c r="E11" s="31"/>
      <c r="F11" s="84">
        <f>'سایر درآمدها'!E10</f>
        <v>117232296</v>
      </c>
      <c r="G11" s="102"/>
      <c r="H11" s="83">
        <f>F11/$F$12*100</f>
        <v>-1.7142456654741321E-2</v>
      </c>
      <c r="I11" s="102"/>
      <c r="J11" s="83">
        <f t="shared" si="0"/>
        <v>6.5824682973010364E-3</v>
      </c>
      <c r="L11" s="40">
        <f>'سایر درآمدها'!C10</f>
        <v>45755641</v>
      </c>
      <c r="M11" s="40">
        <f>'سایر درآمدها'!C10</f>
        <v>45755641</v>
      </c>
      <c r="N11" s="40"/>
    </row>
    <row r="12" spans="1:19" ht="21.75" customHeight="1" thickBot="1">
      <c r="A12" s="119"/>
      <c r="B12" s="119"/>
      <c r="C12" s="31"/>
      <c r="D12" s="37"/>
      <c r="E12" s="31"/>
      <c r="F12" s="103">
        <f>SUM(F8:F11)</f>
        <v>-683871036463</v>
      </c>
      <c r="G12" s="102"/>
      <c r="H12" s="104">
        <f>SUM(H8:H11)</f>
        <v>100</v>
      </c>
      <c r="I12" s="102"/>
      <c r="J12" s="104">
        <f>SUM(J8:J11)</f>
        <v>-38.398628795601667</v>
      </c>
      <c r="L12" s="47">
        <f>SUM(L8:L11)</f>
        <v>-688961788203</v>
      </c>
      <c r="M12" s="40">
        <f>SUM(M8:M11)</f>
        <v>-688961788203</v>
      </c>
      <c r="N12" s="40"/>
    </row>
    <row r="13" spans="1:19" ht="13.5" thickTop="1">
      <c r="F13" s="40"/>
      <c r="L13" s="40">
        <v>467858349622</v>
      </c>
    </row>
    <row r="14" spans="1:19">
      <c r="F14" s="40"/>
      <c r="L14" s="47">
        <f>L12-L13</f>
        <v>-1156820137825</v>
      </c>
      <c r="M14" s="40">
        <v>506827360920</v>
      </c>
    </row>
    <row r="15" spans="1:19">
      <c r="F15" s="40"/>
      <c r="M15" s="40">
        <f>M12-M14</f>
        <v>-1195789149123</v>
      </c>
      <c r="N15" s="40"/>
    </row>
    <row r="16" spans="1:19">
      <c r="F16" s="40"/>
      <c r="N16" s="40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U50"/>
  <sheetViews>
    <sheetView rightToLeft="1" view="pageBreakPreview" topLeftCell="A37" zoomScale="96" zoomScaleNormal="100" zoomScaleSheetLayoutView="96" workbookViewId="0">
      <selection activeCell="G66" sqref="G66"/>
    </sheetView>
  </sheetViews>
  <sheetFormatPr defaultRowHeight="12.75"/>
  <cols>
    <col min="1" max="1" width="29.85546875" bestFit="1" customWidth="1"/>
    <col min="2" max="2" width="1.28515625" customWidth="1"/>
    <col min="3" max="3" width="14.85546875" bestFit="1" customWidth="1"/>
    <col min="4" max="4" width="1.28515625" customWidth="1"/>
    <col min="5" max="5" width="16.5703125" bestFit="1" customWidth="1"/>
    <col min="6" max="6" width="1.28515625" customWidth="1"/>
    <col min="7" max="7" width="16.5703125" bestFit="1" customWidth="1"/>
    <col min="8" max="8" width="1.28515625" customWidth="1"/>
    <col min="9" max="9" width="16.5703125" bestFit="1" customWidth="1"/>
    <col min="10" max="10" width="1.28515625" customWidth="1"/>
    <col min="11" max="11" width="17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6.7109375" bestFit="1" customWidth="1"/>
    <col min="16" max="16" width="1.28515625" customWidth="1"/>
    <col min="17" max="17" width="17.7109375" bestFit="1" customWidth="1"/>
    <col min="18" max="18" width="1.28515625" customWidth="1"/>
    <col min="19" max="19" width="16.7109375" bestFit="1" customWidth="1"/>
    <col min="20" max="20" width="1.28515625" customWidth="1"/>
    <col min="21" max="21" width="17.28515625" bestFit="1" customWidth="1"/>
    <col min="22" max="22" width="0.28515625" customWidth="1"/>
  </cols>
  <sheetData>
    <row r="1" spans="1:21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ht="14.45" customHeight="1"/>
    <row r="5" spans="1:21" ht="14.45" customHeight="1">
      <c r="A5" s="111" t="s">
        <v>125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</row>
    <row r="6" spans="1:21" ht="14.45" customHeight="1">
      <c r="C6" s="112" t="s">
        <v>73</v>
      </c>
      <c r="D6" s="112"/>
      <c r="E6" s="112"/>
      <c r="F6" s="112"/>
      <c r="G6" s="112"/>
      <c r="H6" s="112"/>
      <c r="I6" s="112"/>
      <c r="J6" s="112"/>
      <c r="K6" s="112"/>
      <c r="M6" s="112" t="s">
        <v>74</v>
      </c>
      <c r="N6" s="112"/>
      <c r="O6" s="112"/>
      <c r="P6" s="112"/>
      <c r="Q6" s="112"/>
      <c r="R6" s="112"/>
      <c r="S6" s="112"/>
      <c r="T6" s="112"/>
      <c r="U6" s="112"/>
    </row>
    <row r="7" spans="1:21" ht="14.45" customHeight="1">
      <c r="C7" s="3"/>
      <c r="D7" s="3"/>
      <c r="E7" s="3"/>
      <c r="F7" s="3"/>
      <c r="G7" s="3"/>
      <c r="H7" s="3"/>
      <c r="I7" s="113" t="s">
        <v>37</v>
      </c>
      <c r="J7" s="113"/>
      <c r="K7" s="113"/>
      <c r="M7" s="3"/>
      <c r="N7" s="3"/>
      <c r="O7" s="3"/>
      <c r="P7" s="3"/>
      <c r="Q7" s="3"/>
      <c r="R7" s="3"/>
      <c r="S7" s="113" t="s">
        <v>37</v>
      </c>
      <c r="T7" s="113"/>
      <c r="U7" s="113"/>
    </row>
    <row r="8" spans="1:21" ht="14.45" customHeight="1">
      <c r="A8" s="42" t="s">
        <v>75</v>
      </c>
      <c r="C8" s="2" t="s">
        <v>76</v>
      </c>
      <c r="E8" s="2" t="s">
        <v>77</v>
      </c>
      <c r="G8" s="2" t="s">
        <v>78</v>
      </c>
      <c r="I8" s="4" t="s">
        <v>55</v>
      </c>
      <c r="J8" s="3"/>
      <c r="K8" s="4" t="s">
        <v>63</v>
      </c>
      <c r="M8" s="2" t="s">
        <v>76</v>
      </c>
      <c r="N8" s="9"/>
      <c r="O8" s="42" t="s">
        <v>77</v>
      </c>
      <c r="P8" s="9"/>
      <c r="Q8" s="2" t="s">
        <v>78</v>
      </c>
      <c r="S8" s="4" t="s">
        <v>55</v>
      </c>
      <c r="T8" s="3"/>
      <c r="U8" s="4" t="s">
        <v>63</v>
      </c>
    </row>
    <row r="9" spans="1:21" ht="21.75" customHeight="1">
      <c r="A9" s="12" t="s">
        <v>25</v>
      </c>
      <c r="C9" s="50">
        <f>IFERROR(VLOOKUP(A9,'درآمد سود سهام'!A:S,9,0),0)</f>
        <v>0</v>
      </c>
      <c r="D9" s="50"/>
      <c r="E9" s="50">
        <f>IFERROR(VLOOKUP(A9,'درآمد ناشی از تغییر قیمت اوراق'!A:Q,9,0),0)</f>
        <v>-1490279366</v>
      </c>
      <c r="F9" s="50"/>
      <c r="G9" s="50">
        <f>IFERROR(VLOOKUP(A9,'درآمد ناشی از فروش'!A:Q,9,0),0)</f>
        <v>0</v>
      </c>
      <c r="H9" s="50"/>
      <c r="I9" s="50">
        <f>C9+E9+G9</f>
        <v>-1490279366</v>
      </c>
      <c r="J9" s="50"/>
      <c r="K9" s="53">
        <f>I9/(688961788203)*100</f>
        <v>-0.21630798565578715</v>
      </c>
      <c r="L9" s="50"/>
      <c r="M9" s="50">
        <f>IFERROR(VLOOKUP(A9,'درآمد سود سهام'!A:S,15,0),0)</f>
        <v>0</v>
      </c>
      <c r="N9" s="50"/>
      <c r="O9" s="50">
        <f>IFERROR(VLOOKUP(A9,'درآمد ناشی از تغییر قیمت اوراق'!A:Q,17,0),0)</f>
        <v>-1490279366</v>
      </c>
      <c r="P9" s="50"/>
      <c r="Q9" s="50">
        <f>IFERROR(VLOOKUP(A9,'درآمد ناشی از فروش'!A:Q,17,0),0)</f>
        <v>0</v>
      </c>
      <c r="R9" s="50"/>
      <c r="S9" s="50">
        <f>M9+O9+Q9</f>
        <v>-1490279366</v>
      </c>
      <c r="U9" s="53">
        <f>S9/درآمد!$F$12*100</f>
        <v>0.21791818728100643</v>
      </c>
    </row>
    <row r="10" spans="1:21" ht="21.75" customHeight="1">
      <c r="A10" s="12" t="s">
        <v>30</v>
      </c>
      <c r="C10" s="50">
        <f>IFERROR(VLOOKUP(A10,'درآمد سود سهام'!A:S,9,0),0)</f>
        <v>0</v>
      </c>
      <c r="D10" s="50"/>
      <c r="E10" s="50">
        <f>IFERROR(VLOOKUP(A10,'درآمد ناشی از تغییر قیمت اوراق'!A:Q,9,0),0)</f>
        <v>-4229574644</v>
      </c>
      <c r="F10" s="50"/>
      <c r="G10" s="50">
        <f>IFERROR(VLOOKUP(A10,'درآمد ناشی از فروش'!A:Q,9,0),0)</f>
        <v>0</v>
      </c>
      <c r="H10" s="50"/>
      <c r="I10" s="50">
        <f t="shared" ref="I10:I41" si="0">C10+E10+G10</f>
        <v>-4229574644</v>
      </c>
      <c r="J10" s="50"/>
      <c r="K10" s="53">
        <f t="shared" ref="K10:K41" si="1">I10/(688961788203)*100</f>
        <v>-0.61390554838053979</v>
      </c>
      <c r="L10" s="50"/>
      <c r="M10" s="50">
        <f>IFERROR(VLOOKUP(A10,'درآمد سود سهام'!A:S,15,0),0)</f>
        <v>0</v>
      </c>
      <c r="N10" s="50"/>
      <c r="O10" s="50">
        <f>IFERROR(VLOOKUP(A10,'درآمد ناشی از تغییر قیمت اوراق'!A:Q,17,0),0)</f>
        <v>-4229574644</v>
      </c>
      <c r="P10" s="50"/>
      <c r="Q10" s="50">
        <f>IFERROR(VLOOKUP(A10,'درآمد ناشی از فروش'!A:Q,17,0),0)</f>
        <v>0</v>
      </c>
      <c r="R10" s="50"/>
      <c r="S10" s="50">
        <f t="shared" ref="S10:S41" si="2">M10+O10+Q10</f>
        <v>-4229574644</v>
      </c>
      <c r="U10" s="53">
        <f>S10/درآمد!$F$12*100</f>
        <v>0.61847547541645831</v>
      </c>
    </row>
    <row r="11" spans="1:21" ht="21.75" customHeight="1">
      <c r="A11" s="12" t="s">
        <v>18</v>
      </c>
      <c r="C11" s="50">
        <f>IFERROR(VLOOKUP(A11,'درآمد سود سهام'!A:S,9,0),0)</f>
        <v>0</v>
      </c>
      <c r="D11" s="50"/>
      <c r="E11" s="50">
        <f>IFERROR(VLOOKUP(A11,'درآمد ناشی از تغییر قیمت اوراق'!A:Q,9,0),0)</f>
        <v>-18429715168</v>
      </c>
      <c r="F11" s="50"/>
      <c r="G11" s="50">
        <f>IFERROR(VLOOKUP(A11,'درآمد ناشی از فروش'!A:Q,9,0),0)</f>
        <v>0</v>
      </c>
      <c r="H11" s="50"/>
      <c r="I11" s="50">
        <f t="shared" si="0"/>
        <v>-18429715168</v>
      </c>
      <c r="J11" s="50"/>
      <c r="K11" s="53">
        <f t="shared" si="1"/>
        <v>-2.6749981615191922</v>
      </c>
      <c r="L11" s="50"/>
      <c r="M11" s="50">
        <f>IFERROR(VLOOKUP(A11,'درآمد سود سهام'!A:S,15,0),0)</f>
        <v>0</v>
      </c>
      <c r="N11" s="50"/>
      <c r="O11" s="50">
        <f>IFERROR(VLOOKUP(A11,'درآمد ناشی از تغییر قیمت اوراق'!A:Q,17,0),0)</f>
        <v>-18429715168</v>
      </c>
      <c r="P11" s="50"/>
      <c r="Q11" s="50">
        <f>IFERROR(VLOOKUP(A11,'درآمد ناشی از فروش'!A:Q,17,0),0)</f>
        <v>0</v>
      </c>
      <c r="R11" s="50"/>
      <c r="S11" s="50">
        <f t="shared" si="2"/>
        <v>-18429715168</v>
      </c>
      <c r="U11" s="53">
        <f>S11/درآمد!$F$12*100</f>
        <v>2.6949109094192671</v>
      </c>
    </row>
    <row r="12" spans="1:21" ht="21.75" customHeight="1">
      <c r="A12" s="12" t="s">
        <v>23</v>
      </c>
      <c r="C12" s="50">
        <f>IFERROR(VLOOKUP(A12,'درآمد سود سهام'!A:S,9,0),0)</f>
        <v>0</v>
      </c>
      <c r="D12" s="50"/>
      <c r="E12" s="50">
        <f>IFERROR(VLOOKUP(A12,'درآمد ناشی از تغییر قیمت اوراق'!A:Q,9,0),0)</f>
        <v>-305999397</v>
      </c>
      <c r="F12" s="50"/>
      <c r="G12" s="50">
        <f>IFERROR(VLOOKUP(A12,'درآمد ناشی از فروش'!A:Q,9,0),0)</f>
        <v>0</v>
      </c>
      <c r="H12" s="50"/>
      <c r="I12" s="50">
        <f t="shared" si="0"/>
        <v>-305999397</v>
      </c>
      <c r="J12" s="50"/>
      <c r="K12" s="53">
        <f t="shared" si="1"/>
        <v>-4.4414567286544263E-2</v>
      </c>
      <c r="L12" s="50"/>
      <c r="M12" s="50">
        <f>IFERROR(VLOOKUP(A12,'درآمد سود سهام'!A:S,15,0),0)</f>
        <v>0</v>
      </c>
      <c r="N12" s="50"/>
      <c r="O12" s="50">
        <f>IFERROR(VLOOKUP(A12,'درآمد ناشی از تغییر قیمت اوراق'!A:Q,17,0),0)</f>
        <v>-305999397</v>
      </c>
      <c r="P12" s="50"/>
      <c r="Q12" s="50">
        <f>IFERROR(VLOOKUP(A12,'درآمد ناشی از فروش'!A:Q,17,0),0)</f>
        <v>0</v>
      </c>
      <c r="R12" s="50"/>
      <c r="S12" s="50">
        <f t="shared" si="2"/>
        <v>-305999397</v>
      </c>
      <c r="U12" s="53">
        <f>S12/درآمد!$F$12*100</f>
        <v>4.4745190347969317E-2</v>
      </c>
    </row>
    <row r="13" spans="1:21" ht="21.75" customHeight="1">
      <c r="A13" s="12" t="s">
        <v>34</v>
      </c>
      <c r="C13" s="50">
        <f>IFERROR(VLOOKUP(A13,'درآمد سود سهام'!A:S,9,0),0)</f>
        <v>0</v>
      </c>
      <c r="D13" s="50"/>
      <c r="E13" s="50">
        <f>IFERROR(VLOOKUP(A13,'درآمد ناشی از تغییر قیمت اوراق'!A:Q,9,0),0)</f>
        <v>-2155603653</v>
      </c>
      <c r="F13" s="50"/>
      <c r="G13" s="50">
        <f>IFERROR(VLOOKUP(A13,'درآمد ناشی از فروش'!A:Q,9,0),0)</f>
        <v>0</v>
      </c>
      <c r="H13" s="50"/>
      <c r="I13" s="50">
        <f t="shared" si="0"/>
        <v>-2155603653</v>
      </c>
      <c r="J13" s="50"/>
      <c r="K13" s="53">
        <f t="shared" si="1"/>
        <v>-0.31287709854307033</v>
      </c>
      <c r="L13" s="50"/>
      <c r="M13" s="50">
        <f>IFERROR(VLOOKUP(A13,'درآمد سود سهام'!A:S,15,0),0)</f>
        <v>0</v>
      </c>
      <c r="N13" s="50"/>
      <c r="O13" s="50">
        <f>IFERROR(VLOOKUP(A13,'درآمد ناشی از تغییر قیمت اوراق'!A:Q,17,0),0)</f>
        <v>-2155603653</v>
      </c>
      <c r="P13" s="50"/>
      <c r="Q13" s="50">
        <f>IFERROR(VLOOKUP(A13,'درآمد ناشی از فروش'!A:Q,17,0),0)</f>
        <v>0</v>
      </c>
      <c r="R13" s="50"/>
      <c r="S13" s="50">
        <f t="shared" si="2"/>
        <v>-2155603653</v>
      </c>
      <c r="U13" s="53">
        <f>S13/درآمد!$F$12*100</f>
        <v>0.31520616286790593</v>
      </c>
    </row>
    <row r="14" spans="1:21" ht="21.75" customHeight="1">
      <c r="A14" s="12" t="s">
        <v>15</v>
      </c>
      <c r="C14" s="50">
        <f>IFERROR(VLOOKUP(A14,'درآمد سود سهام'!A:S,9,0),0)</f>
        <v>0</v>
      </c>
      <c r="D14" s="50"/>
      <c r="E14" s="50">
        <f>IFERROR(VLOOKUP(A14,'درآمد ناشی از تغییر قیمت اوراق'!A:Q,9,0),0)</f>
        <v>-3650741915</v>
      </c>
      <c r="F14" s="50"/>
      <c r="G14" s="50">
        <f>IFERROR(VLOOKUP(A14,'درآمد ناشی از فروش'!A:Q,9,0),0)</f>
        <v>0</v>
      </c>
      <c r="H14" s="50"/>
      <c r="I14" s="50">
        <f t="shared" si="0"/>
        <v>-3650741915</v>
      </c>
      <c r="J14" s="50"/>
      <c r="K14" s="53">
        <f t="shared" si="1"/>
        <v>-0.52989033318119561</v>
      </c>
      <c r="L14" s="50"/>
      <c r="M14" s="50">
        <f>IFERROR(VLOOKUP(A14,'درآمد سود سهام'!A:S,15,0),0)</f>
        <v>0</v>
      </c>
      <c r="N14" s="50"/>
      <c r="O14" s="50">
        <f>IFERROR(VLOOKUP(A14,'درآمد ناشی از تغییر قیمت اوراق'!A:Q,17,0),0)</f>
        <v>-3650741915</v>
      </c>
      <c r="P14" s="50"/>
      <c r="Q14" s="50">
        <f>IFERROR(VLOOKUP(A14,'درآمد ناشی از فروش'!A:Q,17,0),0)</f>
        <v>0</v>
      </c>
      <c r="R14" s="50"/>
      <c r="S14" s="50">
        <f t="shared" si="2"/>
        <v>-3650741915</v>
      </c>
      <c r="U14" s="53">
        <f>S14/درآمد!$F$12*100</f>
        <v>0.53383484902091172</v>
      </c>
    </row>
    <row r="15" spans="1:21" ht="21.75" customHeight="1">
      <c r="A15" s="12" t="s">
        <v>17</v>
      </c>
      <c r="C15" s="50">
        <f>IFERROR(VLOOKUP(A15,'درآمد سود سهام'!A:S,9,0),0)</f>
        <v>0</v>
      </c>
      <c r="D15" s="50"/>
      <c r="E15" s="50">
        <f>IFERROR(VLOOKUP(A15,'درآمد ناشی از تغییر قیمت اوراق'!A:Q,9,0),0)</f>
        <v>-5483078148</v>
      </c>
      <c r="F15" s="50"/>
      <c r="G15" s="50">
        <f>IFERROR(VLOOKUP(A15,'درآمد ناشی از فروش'!A:Q,9,0),0)</f>
        <v>0</v>
      </c>
      <c r="H15" s="50"/>
      <c r="I15" s="50">
        <f t="shared" si="0"/>
        <v>-5483078148</v>
      </c>
      <c r="J15" s="50"/>
      <c r="K15" s="53">
        <f t="shared" si="1"/>
        <v>-0.79584648116717194</v>
      </c>
      <c r="L15" s="50"/>
      <c r="M15" s="50">
        <f>IFERROR(VLOOKUP(A15,'درآمد سود سهام'!A:S,15,0),0)</f>
        <v>0</v>
      </c>
      <c r="N15" s="50"/>
      <c r="O15" s="50">
        <f>IFERROR(VLOOKUP(A15,'درآمد ناشی از تغییر قیمت اوراق'!A:Q,17,0),0)</f>
        <v>-5483078148</v>
      </c>
      <c r="P15" s="50"/>
      <c r="Q15" s="50">
        <f>IFERROR(VLOOKUP(A15,'درآمد ناشی از فروش'!A:Q,17,0),0)</f>
        <v>0</v>
      </c>
      <c r="R15" s="50"/>
      <c r="S15" s="50">
        <f t="shared" si="2"/>
        <v>-5483078148</v>
      </c>
      <c r="U15" s="53">
        <f>S15/درآمد!$F$12*100</f>
        <v>0.80177078069552876</v>
      </c>
    </row>
    <row r="16" spans="1:21" ht="21.75" customHeight="1">
      <c r="A16" s="12" t="s">
        <v>157</v>
      </c>
      <c r="C16" s="50">
        <f>IFERROR(VLOOKUP(A16,'درآمد سود سهام'!A:S,9,0),0)</f>
        <v>0</v>
      </c>
      <c r="D16" s="50"/>
      <c r="E16" s="50">
        <f>IFERROR(VLOOKUP(A16,'درآمد ناشی از تغییر قیمت اوراق'!A:Q,9,0),0)</f>
        <v>829773714</v>
      </c>
      <c r="F16" s="50"/>
      <c r="G16" s="50">
        <f>IFERROR(VLOOKUP(A16,'درآمد ناشی از فروش'!A:Q,9,0),0)</f>
        <v>0</v>
      </c>
      <c r="H16" s="50"/>
      <c r="I16" s="50">
        <f t="shared" si="0"/>
        <v>829773714</v>
      </c>
      <c r="J16" s="50"/>
      <c r="K16" s="53">
        <f t="shared" si="1"/>
        <v>0.12043827803052413</v>
      </c>
      <c r="L16" s="50"/>
      <c r="M16" s="50">
        <f>IFERROR(VLOOKUP(A16,'درآمد سود سهام'!A:S,15,0),0)</f>
        <v>0</v>
      </c>
      <c r="N16" s="50"/>
      <c r="O16" s="50">
        <f>IFERROR(VLOOKUP(A16,'درآمد ناشی از تغییر قیمت اوراق'!A:Q,17,0),0)</f>
        <v>829773714</v>
      </c>
      <c r="P16" s="50"/>
      <c r="Q16" s="50">
        <f>IFERROR(VLOOKUP(A16,'درآمد ناشی از فروش'!A:Q,17,0),0)</f>
        <v>0</v>
      </c>
      <c r="R16" s="50"/>
      <c r="S16" s="50">
        <f t="shared" si="2"/>
        <v>829773714</v>
      </c>
      <c r="U16" s="53">
        <f>S16/درآمد!$F$12*100</f>
        <v>-0.12133482334499977</v>
      </c>
    </row>
    <row r="17" spans="1:21" ht="21.75" customHeight="1">
      <c r="A17" s="12" t="s">
        <v>35</v>
      </c>
      <c r="C17" s="50">
        <f>IFERROR(VLOOKUP(A17,'درآمد سود سهام'!A:S,9,0),0)</f>
        <v>0</v>
      </c>
      <c r="D17" s="50"/>
      <c r="E17" s="50">
        <f>IFERROR(VLOOKUP(A17,'درآمد ناشی از تغییر قیمت اوراق'!A:Q,9,0),0)</f>
        <v>-2506715523</v>
      </c>
      <c r="F17" s="50"/>
      <c r="G17" s="50">
        <f>IFERROR(VLOOKUP(A17,'درآمد ناشی از فروش'!A:Q,9,0),0)</f>
        <v>0</v>
      </c>
      <c r="H17" s="50"/>
      <c r="I17" s="50">
        <f t="shared" si="0"/>
        <v>-2506715523</v>
      </c>
      <c r="J17" s="50"/>
      <c r="K17" s="53">
        <f t="shared" si="1"/>
        <v>-0.36383955771163984</v>
      </c>
      <c r="L17" s="50"/>
      <c r="M17" s="50">
        <f>IFERROR(VLOOKUP(A17,'درآمد سود سهام'!A:S,15,0),0)</f>
        <v>0</v>
      </c>
      <c r="N17" s="50"/>
      <c r="O17" s="50">
        <f>IFERROR(VLOOKUP(A17,'درآمد ناشی از تغییر قیمت اوراق'!A:Q,17,0),0)</f>
        <v>-2506715523</v>
      </c>
      <c r="P17" s="50"/>
      <c r="Q17" s="50">
        <f>IFERROR(VLOOKUP(A17,'درآمد ناشی از فروش'!A:Q,17,0),0)</f>
        <v>0</v>
      </c>
      <c r="R17" s="50"/>
      <c r="S17" s="50">
        <f t="shared" si="2"/>
        <v>-2506715523</v>
      </c>
      <c r="U17" s="53">
        <f>S17/درآمد!$F$12*100</f>
        <v>0.36654798775582048</v>
      </c>
    </row>
    <row r="18" spans="1:21" ht="21.75" customHeight="1">
      <c r="A18" s="12" t="s">
        <v>32</v>
      </c>
      <c r="C18" s="50">
        <f>IFERROR(VLOOKUP(A18,'درآمد سود سهام'!A:S,9,0),0)</f>
        <v>0</v>
      </c>
      <c r="D18" s="50"/>
      <c r="E18" s="50">
        <f>IFERROR(VLOOKUP(A18,'درآمد ناشی از تغییر قیمت اوراق'!A:Q,9,0),0)</f>
        <v>-1867055232</v>
      </c>
      <c r="F18" s="50"/>
      <c r="G18" s="50">
        <f>IFERROR(VLOOKUP(A18,'درآمد ناشی از فروش'!A:Q,9,0),0)</f>
        <v>0</v>
      </c>
      <c r="H18" s="50"/>
      <c r="I18" s="50">
        <f t="shared" si="0"/>
        <v>-1867055232</v>
      </c>
      <c r="J18" s="50"/>
      <c r="K18" s="53">
        <f t="shared" si="1"/>
        <v>-0.27099546941054431</v>
      </c>
      <c r="L18" s="50"/>
      <c r="M18" s="50">
        <f>IFERROR(VLOOKUP(A18,'درآمد سود سهام'!A:S,15,0),0)</f>
        <v>0</v>
      </c>
      <c r="N18" s="50"/>
      <c r="O18" s="50">
        <f>IFERROR(VLOOKUP(A18,'درآمد ناشی از تغییر قیمت اوراق'!A:Q,17,0),0)</f>
        <v>-1867055232</v>
      </c>
      <c r="P18" s="50"/>
      <c r="Q18" s="50">
        <f>IFERROR(VLOOKUP(A18,'درآمد ناشی از فروش'!A:Q,17,0),0)</f>
        <v>0</v>
      </c>
      <c r="R18" s="50"/>
      <c r="S18" s="50">
        <f t="shared" si="2"/>
        <v>-1867055232</v>
      </c>
      <c r="U18" s="53">
        <f>S18/درآمد!$F$12*100</f>
        <v>0.27301276592388846</v>
      </c>
    </row>
    <row r="19" spans="1:21" ht="21.75" customHeight="1">
      <c r="A19" s="12" t="s">
        <v>29</v>
      </c>
      <c r="C19" s="50">
        <f>IFERROR(VLOOKUP(A19,'درآمد سود سهام'!A:S,9,0),0)</f>
        <v>0</v>
      </c>
      <c r="D19" s="50"/>
      <c r="E19" s="50">
        <f>IFERROR(VLOOKUP(A19,'درآمد ناشی از تغییر قیمت اوراق'!A:Q,9,0),0)</f>
        <v>-91095593289</v>
      </c>
      <c r="F19" s="50"/>
      <c r="G19" s="50">
        <f>IFERROR(VLOOKUP(A19,'درآمد ناشی از فروش'!A:Q,9,0),0)</f>
        <v>0</v>
      </c>
      <c r="H19" s="50"/>
      <c r="I19" s="50">
        <f t="shared" si="0"/>
        <v>-91095593289</v>
      </c>
      <c r="J19" s="50"/>
      <c r="K19" s="53">
        <f t="shared" si="1"/>
        <v>-13.222154675167417</v>
      </c>
      <c r="L19" s="50"/>
      <c r="M19" s="50">
        <f>IFERROR(VLOOKUP(A19,'درآمد سود سهام'!A:S,15,0),0)</f>
        <v>0</v>
      </c>
      <c r="N19" s="50"/>
      <c r="O19" s="50">
        <f>IFERROR(VLOOKUP(A19,'درآمد ناشی از تغییر قیمت اوراق'!A:Q,17,0),0)</f>
        <v>-91095593289</v>
      </c>
      <c r="P19" s="50"/>
      <c r="Q19" s="50">
        <f>IFERROR(VLOOKUP(A19,'درآمد ناشی از فروش'!A:Q,17,0),0)</f>
        <v>0</v>
      </c>
      <c r="R19" s="50"/>
      <c r="S19" s="50">
        <f t="shared" si="2"/>
        <v>-91095593289</v>
      </c>
      <c r="U19" s="53">
        <f>S19/درآمد!$F$12*100</f>
        <v>13.32058069897929</v>
      </c>
    </row>
    <row r="20" spans="1:21" ht="21.75" customHeight="1">
      <c r="A20" s="12" t="s">
        <v>136</v>
      </c>
      <c r="C20" s="50">
        <f>IFERROR(VLOOKUP(A20,'درآمد سود سهام'!A:S,9,0),0)</f>
        <v>0</v>
      </c>
      <c r="D20" s="50"/>
      <c r="E20" s="50">
        <f>IFERROR(VLOOKUP(A20,'درآمد ناشی از تغییر قیمت اوراق'!A:Q,9,0),0)</f>
        <v>-6409916649</v>
      </c>
      <c r="F20" s="50"/>
      <c r="G20" s="50">
        <f>IFERROR(VLOOKUP(A20,'درآمد ناشی از فروش'!A:Q,9,0),0)</f>
        <v>0</v>
      </c>
      <c r="H20" s="50"/>
      <c r="I20" s="50">
        <f t="shared" si="0"/>
        <v>-6409916649</v>
      </c>
      <c r="J20" s="50"/>
      <c r="K20" s="53">
        <f t="shared" si="1"/>
        <v>-0.93037331804987455</v>
      </c>
      <c r="L20" s="50"/>
      <c r="M20" s="50">
        <f>IFERROR(VLOOKUP(A20,'درآمد سود سهام'!A:S,15,0),0)</f>
        <v>0</v>
      </c>
      <c r="N20" s="50"/>
      <c r="O20" s="50">
        <f>IFERROR(VLOOKUP(A20,'درآمد ناشی از تغییر قیمت اوراق'!A:Q,17,0),0)</f>
        <v>-6409916649</v>
      </c>
      <c r="P20" s="50"/>
      <c r="Q20" s="50">
        <f>IFERROR(VLOOKUP(A20,'درآمد ناشی از فروش'!A:Q,17,0),0)</f>
        <v>0</v>
      </c>
      <c r="R20" s="50"/>
      <c r="S20" s="50">
        <f t="shared" si="2"/>
        <v>-6409916649</v>
      </c>
      <c r="U20" s="53">
        <f>S20/درآمد!$F$12*100</f>
        <v>0.93729903844915941</v>
      </c>
    </row>
    <row r="21" spans="1:21" ht="21.75" customHeight="1">
      <c r="A21" s="12" t="s">
        <v>13</v>
      </c>
      <c r="C21" s="50">
        <f>IFERROR(VLOOKUP(A21,'درآمد سود سهام'!A:S,9,0),0)</f>
        <v>0</v>
      </c>
      <c r="D21" s="50"/>
      <c r="E21" s="50">
        <f>IFERROR(VLOOKUP(A21,'درآمد ناشی از تغییر قیمت اوراق'!A:Q,9,0),0)</f>
        <v>-91912907473</v>
      </c>
      <c r="F21" s="50"/>
      <c r="G21" s="50">
        <f>IFERROR(VLOOKUP(A21,'درآمد ناشی از فروش'!A:Q,9,0),0)</f>
        <v>-12930</v>
      </c>
      <c r="H21" s="50"/>
      <c r="I21" s="50">
        <f t="shared" si="0"/>
        <v>-91912920403</v>
      </c>
      <c r="J21" s="50"/>
      <c r="K21" s="53">
        <f t="shared" si="1"/>
        <v>-13.340786379856267</v>
      </c>
      <c r="L21" s="50"/>
      <c r="M21" s="50">
        <f>IFERROR(VLOOKUP(A21,'درآمد سود سهام'!A:S,15,0),0)</f>
        <v>0</v>
      </c>
      <c r="N21" s="50"/>
      <c r="O21" s="50">
        <f>IFERROR(VLOOKUP(A21,'درآمد ناشی از تغییر قیمت اوراق'!A:Q,17,0),0)</f>
        <v>-91912907473</v>
      </c>
      <c r="P21" s="50"/>
      <c r="Q21" s="50">
        <f>IFERROR(VLOOKUP(A21,'درآمد ناشی از فروش'!A:Q,17,0),0)</f>
        <v>-12930</v>
      </c>
      <c r="R21" s="50"/>
      <c r="S21" s="50">
        <f t="shared" si="2"/>
        <v>-91912920403</v>
      </c>
      <c r="U21" s="53">
        <f>S21/درآمد!$F$12*100</f>
        <v>13.440095500809068</v>
      </c>
    </row>
    <row r="22" spans="1:21" ht="21.75" customHeight="1">
      <c r="A22" s="12" t="s">
        <v>26</v>
      </c>
      <c r="C22" s="50">
        <f>IFERROR(VLOOKUP(A22,'درآمد سود سهام'!A:S,9,0),0)</f>
        <v>0</v>
      </c>
      <c r="D22" s="50"/>
      <c r="E22" s="50">
        <f>IFERROR(VLOOKUP(A22,'درآمد ناشی از تغییر قیمت اوراق'!A:Q,9,0),0)</f>
        <v>-213369689125</v>
      </c>
      <c r="F22" s="50"/>
      <c r="G22" s="50">
        <f>IFERROR(VLOOKUP(A22,'درآمد ناشی از فروش'!A:Q,9,0),0)</f>
        <v>0</v>
      </c>
      <c r="H22" s="50"/>
      <c r="I22" s="50">
        <f t="shared" si="0"/>
        <v>-213369689125</v>
      </c>
      <c r="J22" s="50"/>
      <c r="K22" s="53">
        <f t="shared" si="1"/>
        <v>-30.969742121914521</v>
      </c>
      <c r="L22" s="50"/>
      <c r="M22" s="50">
        <f>IFERROR(VLOOKUP(A22,'درآمد سود سهام'!A:S,15,0),0)</f>
        <v>0</v>
      </c>
      <c r="N22" s="50"/>
      <c r="O22" s="50">
        <f>IFERROR(VLOOKUP(A22,'درآمد ناشی از تغییر قیمت اوراق'!A:Q,17,0),0)</f>
        <v>-213369689125</v>
      </c>
      <c r="P22" s="50"/>
      <c r="Q22" s="50">
        <f>IFERROR(VLOOKUP(A22,'درآمد ناشی از فروش'!A:Q,17,0),0)</f>
        <v>0</v>
      </c>
      <c r="R22" s="50"/>
      <c r="S22" s="50">
        <f t="shared" si="2"/>
        <v>-213369689125</v>
      </c>
      <c r="U22" s="53">
        <f>S22/درآمد!$F$12*100</f>
        <v>31.200281595277669</v>
      </c>
    </row>
    <row r="23" spans="1:21" ht="21.75" customHeight="1">
      <c r="A23" s="12" t="s">
        <v>24</v>
      </c>
      <c r="C23" s="50">
        <f>IFERROR(VLOOKUP(A23,'درآمد سود سهام'!A:S,9,0),0)</f>
        <v>0</v>
      </c>
      <c r="D23" s="50"/>
      <c r="E23" s="50">
        <f>IFERROR(VLOOKUP(A23,'درآمد ناشی از تغییر قیمت اوراق'!A:Q,9,0),0)</f>
        <v>-22688057861</v>
      </c>
      <c r="F23" s="50"/>
      <c r="G23" s="50">
        <f>IFERROR(VLOOKUP(A23,'درآمد ناشی از فروش'!A:Q,9,0),0)</f>
        <v>0</v>
      </c>
      <c r="H23" s="50"/>
      <c r="I23" s="50">
        <f t="shared" si="0"/>
        <v>-22688057861</v>
      </c>
      <c r="J23" s="50"/>
      <c r="K23" s="53">
        <f t="shared" si="1"/>
        <v>-3.293079275147702</v>
      </c>
      <c r="L23" s="50"/>
      <c r="M23" s="50">
        <f>IFERROR(VLOOKUP(A23,'درآمد سود سهام'!A:S,15,0),0)</f>
        <v>0</v>
      </c>
      <c r="N23" s="50"/>
      <c r="O23" s="50">
        <f>IFERROR(VLOOKUP(A23,'درآمد ناشی از تغییر قیمت اوراق'!A:Q,17,0),0)</f>
        <v>-22688057861</v>
      </c>
      <c r="P23" s="50"/>
      <c r="Q23" s="50">
        <f>IFERROR(VLOOKUP(A23,'درآمد ناشی از فروش'!A:Q,17,0),0)</f>
        <v>0</v>
      </c>
      <c r="R23" s="50"/>
      <c r="S23" s="50">
        <f t="shared" si="2"/>
        <v>-22688057861</v>
      </c>
      <c r="U23" s="53">
        <f>S23/درآمد!$F$12*100</f>
        <v>3.3175930330875349</v>
      </c>
    </row>
    <row r="24" spans="1:21" ht="21.75" customHeight="1">
      <c r="A24" s="12" t="s">
        <v>20</v>
      </c>
      <c r="C24" s="50">
        <f>IFERROR(VLOOKUP(A24,'درآمد سود سهام'!A:S,9,0),0)</f>
        <v>0</v>
      </c>
      <c r="D24" s="50"/>
      <c r="E24" s="50">
        <f>IFERROR(VLOOKUP(A24,'درآمد ناشی از تغییر قیمت اوراق'!A:Q,9,0),0)</f>
        <v>-14177229923</v>
      </c>
      <c r="F24" s="50"/>
      <c r="G24" s="50">
        <f>IFERROR(VLOOKUP(A24,'درآمد ناشی از فروش'!A:Q,9,0),0)</f>
        <v>-10040</v>
      </c>
      <c r="H24" s="50"/>
      <c r="I24" s="50">
        <f t="shared" si="0"/>
        <v>-14177239963</v>
      </c>
      <c r="J24" s="50"/>
      <c r="K24" s="53">
        <f t="shared" si="1"/>
        <v>-2.0577686898976073</v>
      </c>
      <c r="L24" s="50"/>
      <c r="M24" s="50">
        <f>IFERROR(VLOOKUP(A24,'درآمد سود سهام'!A:S,15,0),0)</f>
        <v>0</v>
      </c>
      <c r="N24" s="50"/>
      <c r="O24" s="50">
        <f>IFERROR(VLOOKUP(A24,'درآمد ناشی از تغییر قیمت اوراق'!A:Q,17,0),0)</f>
        <v>-14177229923</v>
      </c>
      <c r="P24" s="50"/>
      <c r="Q24" s="50">
        <f>IFERROR(VLOOKUP(A24,'درآمد ناشی از فروش'!A:Q,17,0),0)</f>
        <v>-10040</v>
      </c>
      <c r="R24" s="50"/>
      <c r="S24" s="50">
        <f t="shared" si="2"/>
        <v>-14177239963</v>
      </c>
      <c r="U24" s="53">
        <f>S24/درآمد!$F$12*100</f>
        <v>2.0730867674006315</v>
      </c>
    </row>
    <row r="25" spans="1:21" ht="21.75" customHeight="1">
      <c r="A25" s="12" t="s">
        <v>79</v>
      </c>
      <c r="C25" s="50">
        <f>IFERROR(VLOOKUP(A25,'درآمد سود سهام'!A:S,9,0),0)</f>
        <v>0</v>
      </c>
      <c r="D25" s="50"/>
      <c r="E25" s="50">
        <f>IFERROR(VLOOKUP(A25,'درآمد ناشی از تغییر قیمت اوراق'!A:Q,9,0),0)</f>
        <v>-39984511920</v>
      </c>
      <c r="F25" s="50"/>
      <c r="G25" s="50">
        <f>IFERROR(VLOOKUP(A25,'درآمد ناشی از فروش'!A:Q,9,0),0)</f>
        <v>0</v>
      </c>
      <c r="H25" s="50"/>
      <c r="I25" s="50">
        <f t="shared" si="0"/>
        <v>-39984511920</v>
      </c>
      <c r="J25" s="50"/>
      <c r="K25" s="53">
        <f t="shared" si="1"/>
        <v>-5.8035891982181624</v>
      </c>
      <c r="L25" s="50"/>
      <c r="M25" s="50">
        <f>IFERROR(VLOOKUP(A25,'درآمد سود سهام'!A:S,15,0),0)</f>
        <v>0</v>
      </c>
      <c r="N25" s="50"/>
      <c r="O25" s="50">
        <f>IFERROR(VLOOKUP(A25,'درآمد ناشی از تغییر قیمت اوراق'!A:Q,17,0),0)</f>
        <v>-39984511920</v>
      </c>
      <c r="P25" s="50"/>
      <c r="Q25" s="50">
        <f>IFERROR(VLOOKUP(A25,'درآمد ناشی از فروش'!A:Q,17,0),0)</f>
        <v>0</v>
      </c>
      <c r="R25" s="50"/>
      <c r="S25" s="50">
        <f t="shared" si="2"/>
        <v>-39984511920</v>
      </c>
      <c r="U25" s="53">
        <f>S25/درآمد!$F$12*100</f>
        <v>5.8467912498240899</v>
      </c>
    </row>
    <row r="26" spans="1:21" ht="21.75" customHeight="1">
      <c r="A26" s="12" t="s">
        <v>22</v>
      </c>
      <c r="C26" s="50">
        <f>IFERROR(VLOOKUP(A26,'درآمد سود سهام'!A:S,9,0),0)</f>
        <v>0</v>
      </c>
      <c r="D26" s="50"/>
      <c r="E26" s="50">
        <f>IFERROR(VLOOKUP(A26,'درآمد ناشی از تغییر قیمت اوراق'!A:Q,9,0),0)</f>
        <v>-3485762121</v>
      </c>
      <c r="F26" s="50"/>
      <c r="G26" s="50">
        <f>IFERROR(VLOOKUP(A26,'درآمد ناشی از فروش'!A:Q,9,0),0)</f>
        <v>0</v>
      </c>
      <c r="H26" s="50"/>
      <c r="I26" s="50">
        <f t="shared" si="0"/>
        <v>-3485762121</v>
      </c>
      <c r="J26" s="50"/>
      <c r="K26" s="53">
        <f t="shared" si="1"/>
        <v>-0.50594418742610048</v>
      </c>
      <c r="L26" s="50"/>
      <c r="M26" s="50">
        <f>IFERROR(VLOOKUP(A26,'درآمد سود سهام'!A:S,15,0),0)</f>
        <v>0</v>
      </c>
      <c r="N26" s="50"/>
      <c r="O26" s="50">
        <f>IFERROR(VLOOKUP(A26,'درآمد ناشی از تغییر قیمت اوراق'!A:Q,17,0),0)</f>
        <v>-3486559841</v>
      </c>
      <c r="P26" s="50"/>
      <c r="Q26" s="50">
        <f>IFERROR(VLOOKUP(A26,'درآمد ناشی از فروش'!A:Q,17,0),0)</f>
        <v>0</v>
      </c>
      <c r="R26" s="50"/>
      <c r="S26" s="50">
        <f t="shared" si="2"/>
        <v>-3486559841</v>
      </c>
      <c r="U26" s="53">
        <f>S26/درآمد!$F$12*100</f>
        <v>0.50982709532963766</v>
      </c>
    </row>
    <row r="27" spans="1:21" ht="21.75" customHeight="1">
      <c r="A27" s="12" t="s">
        <v>28</v>
      </c>
      <c r="C27" s="50">
        <f>IFERROR(VLOOKUP(A27,'درآمد سود سهام'!A:S,9,0),0)</f>
        <v>0</v>
      </c>
      <c r="D27" s="50"/>
      <c r="E27" s="50">
        <f>IFERROR(VLOOKUP(A27,'درآمد ناشی از تغییر قیمت اوراق'!A:Q,9,0),0)</f>
        <v>-10333569004</v>
      </c>
      <c r="F27" s="50"/>
      <c r="G27" s="50">
        <f>IFERROR(VLOOKUP(A27,'درآمد ناشی از فروش'!A:Q,9,0),0)</f>
        <v>0</v>
      </c>
      <c r="H27" s="50"/>
      <c r="I27" s="50">
        <f t="shared" si="0"/>
        <v>-10333569004</v>
      </c>
      <c r="J27" s="50"/>
      <c r="K27" s="53">
        <f t="shared" si="1"/>
        <v>-1.4998754910562981</v>
      </c>
      <c r="L27" s="50"/>
      <c r="M27" s="50">
        <f>IFERROR(VLOOKUP(A27,'درآمد سود سهام'!A:S,15,0),0)</f>
        <v>0</v>
      </c>
      <c r="N27" s="50"/>
      <c r="O27" s="50">
        <f>IFERROR(VLOOKUP(A27,'درآمد ناشی از تغییر قیمت اوراق'!A:Q,17,0),0)</f>
        <v>-10333569004</v>
      </c>
      <c r="P27" s="50"/>
      <c r="Q27" s="50">
        <f>IFERROR(VLOOKUP(A27,'درآمد ناشی از فروش'!A:Q,17,0),0)</f>
        <v>0</v>
      </c>
      <c r="R27" s="50"/>
      <c r="S27" s="50">
        <f t="shared" si="2"/>
        <v>-10333569004</v>
      </c>
      <c r="U27" s="53">
        <f>S27/درآمد!$F$12*100</f>
        <v>1.5110405987429305</v>
      </c>
    </row>
    <row r="28" spans="1:21" ht="21.75" customHeight="1">
      <c r="A28" s="12" t="s">
        <v>154</v>
      </c>
      <c r="C28" s="50">
        <f>IFERROR(VLOOKUP(A28,'درآمد سود سهام'!A:S,9,0),0)</f>
        <v>0</v>
      </c>
      <c r="D28" s="50"/>
      <c r="E28" s="50">
        <f>IFERROR(VLOOKUP(A28,'درآمد ناشی از تغییر قیمت اوراق'!A:Q,9,0),0)</f>
        <v>-8476877632</v>
      </c>
      <c r="F28" s="50"/>
      <c r="G28" s="50">
        <f>IFERROR(VLOOKUP(A28,'درآمد ناشی از فروش'!A:Q,9,0),0)</f>
        <v>0</v>
      </c>
      <c r="H28" s="50"/>
      <c r="I28" s="50">
        <f t="shared" si="0"/>
        <v>-8476877632</v>
      </c>
      <c r="J28" s="50"/>
      <c r="K28" s="53">
        <f t="shared" si="1"/>
        <v>-1.2303842937516181</v>
      </c>
      <c r="L28" s="50"/>
      <c r="M28" s="50">
        <f>IFERROR(VLOOKUP(A28,'درآمد سود سهام'!A:S,15,0),0)</f>
        <v>0</v>
      </c>
      <c r="N28" s="50"/>
      <c r="O28" s="50">
        <f>IFERROR(VLOOKUP(A28,'درآمد ناشی از تغییر قیمت اوراق'!A:Q,17,0),0)</f>
        <v>-8476877632</v>
      </c>
      <c r="P28" s="50"/>
      <c r="Q28" s="50">
        <f>IFERROR(VLOOKUP(A28,'درآمد ناشی از فروش'!A:Q,17,0),0)</f>
        <v>0</v>
      </c>
      <c r="R28" s="50"/>
      <c r="S28" s="50">
        <f t="shared" si="2"/>
        <v>-8476877632</v>
      </c>
      <c r="U28" s="53">
        <f>S28/درآمد!$F$12*100</f>
        <v>1.2395433027610945</v>
      </c>
    </row>
    <row r="29" spans="1:21" ht="21.75" customHeight="1">
      <c r="A29" s="12" t="s">
        <v>31</v>
      </c>
      <c r="C29" s="50">
        <f>IFERROR(VLOOKUP(A29,'درآمد سود سهام'!A:S,9,0),0)</f>
        <v>0</v>
      </c>
      <c r="D29" s="50"/>
      <c r="E29" s="50">
        <f>IFERROR(VLOOKUP(A29,'درآمد ناشی از تغییر قیمت اوراق'!A:Q,9,0),0)</f>
        <v>-1617959790</v>
      </c>
      <c r="F29" s="50"/>
      <c r="G29" s="50">
        <f>IFERROR(VLOOKUP(A29,'درآمد ناشی از فروش'!A:Q,9,0),0)</f>
        <v>0</v>
      </c>
      <c r="H29" s="50"/>
      <c r="I29" s="50">
        <f t="shared" si="0"/>
        <v>-1617959790</v>
      </c>
      <c r="J29" s="50"/>
      <c r="K29" s="53">
        <f t="shared" si="1"/>
        <v>-0.2348402796358387</v>
      </c>
      <c r="L29" s="50"/>
      <c r="M29" s="50">
        <f>IFERROR(VLOOKUP(A29,'درآمد سود سهام'!A:S,15,0),0)</f>
        <v>255389550</v>
      </c>
      <c r="N29" s="50"/>
      <c r="O29" s="50">
        <f>IFERROR(VLOOKUP(A29,'درآمد ناشی از تغییر قیمت اوراق'!A:Q,17,0),0)</f>
        <v>-1871375179</v>
      </c>
      <c r="P29" s="50"/>
      <c r="Q29" s="50">
        <f>IFERROR(VLOOKUP(A29,'درآمد ناشی از فروش'!A:Q,17,0),0)</f>
        <v>0</v>
      </c>
      <c r="R29" s="50"/>
      <c r="S29" s="50">
        <f t="shared" si="2"/>
        <v>-1615985629</v>
      </c>
      <c r="U29" s="53">
        <f>S29/درآمد!$F$12*100</f>
        <v>0.2362997616272686</v>
      </c>
    </row>
    <row r="30" spans="1:21" ht="21.75" customHeight="1">
      <c r="A30" s="12" t="s">
        <v>16</v>
      </c>
      <c r="C30" s="50">
        <f>IFERROR(VLOOKUP(A30,'درآمد سود سهام'!A:S,9,0),0)</f>
        <v>0</v>
      </c>
      <c r="D30" s="50"/>
      <c r="E30" s="50">
        <f>IFERROR(VLOOKUP(A30,'درآمد ناشی از تغییر قیمت اوراق'!A:Q,9,0),0)</f>
        <v>-52345118178</v>
      </c>
      <c r="F30" s="50"/>
      <c r="G30" s="50">
        <f>IFERROR(VLOOKUP(A30,'درآمد ناشی از فروش'!A:Q,9,0),0)</f>
        <v>0</v>
      </c>
      <c r="H30" s="50"/>
      <c r="I30" s="50">
        <f t="shared" si="0"/>
        <v>-52345118178</v>
      </c>
      <c r="J30" s="50"/>
      <c r="K30" s="53">
        <f t="shared" si="1"/>
        <v>-7.5976808981714825</v>
      </c>
      <c r="L30" s="50"/>
      <c r="M30" s="50">
        <f>IFERROR(VLOOKUP(A30,'درآمد سود سهام'!A:S,15,0),0)</f>
        <v>0</v>
      </c>
      <c r="N30" s="50"/>
      <c r="O30" s="50">
        <f>IFERROR(VLOOKUP(A30,'درآمد ناشی از تغییر قیمت اوراق'!A:Q,17,0),0)</f>
        <v>-52345118178</v>
      </c>
      <c r="P30" s="50"/>
      <c r="Q30" s="50">
        <f>IFERROR(VLOOKUP(A30,'درآمد ناشی از فروش'!A:Q,17,0),0)</f>
        <v>0</v>
      </c>
      <c r="R30" s="50"/>
      <c r="S30" s="50">
        <f t="shared" si="2"/>
        <v>-52345118178</v>
      </c>
      <c r="U30" s="53">
        <f>S30/درآمد!$F$12*100</f>
        <v>7.6542382096967305</v>
      </c>
    </row>
    <row r="31" spans="1:21" ht="21.75" customHeight="1">
      <c r="A31" s="12" t="s">
        <v>12</v>
      </c>
      <c r="C31" s="50">
        <f>IFERROR(VLOOKUP(A31,'درآمد سود سهام'!A:S,9,0),0)</f>
        <v>0</v>
      </c>
      <c r="D31" s="50"/>
      <c r="E31" s="50">
        <f>IFERROR(VLOOKUP(A31,'درآمد ناشی از تغییر قیمت اوراق'!A:Q,9,0),0)</f>
        <v>-23366521302</v>
      </c>
      <c r="F31" s="50"/>
      <c r="G31" s="50">
        <f>IFERROR(VLOOKUP(A31,'درآمد ناشی از فروش'!A:Q,9,0),0)</f>
        <v>0</v>
      </c>
      <c r="H31" s="50"/>
      <c r="I31" s="50">
        <f t="shared" si="0"/>
        <v>-23366521302</v>
      </c>
      <c r="J31" s="50"/>
      <c r="K31" s="53">
        <f t="shared" si="1"/>
        <v>-3.3915554827715848</v>
      </c>
      <c r="L31" s="50"/>
      <c r="M31" s="50">
        <f>IFERROR(VLOOKUP(A31,'درآمد سود سهام'!A:S,15,0),0)</f>
        <v>0</v>
      </c>
      <c r="N31" s="50"/>
      <c r="O31" s="50">
        <f>IFERROR(VLOOKUP(A31,'درآمد ناشی از تغییر قیمت اوراق'!A:Q,17,0),0)</f>
        <v>-23366521302</v>
      </c>
      <c r="P31" s="50"/>
      <c r="Q31" s="50">
        <f>IFERROR(VLOOKUP(A31,'درآمد ناشی از فروش'!A:Q,17,0),0)</f>
        <v>0</v>
      </c>
      <c r="R31" s="50"/>
      <c r="S31" s="50">
        <f t="shared" si="2"/>
        <v>-23366521302</v>
      </c>
      <c r="U31" s="53">
        <f>S31/درآمد!$F$12*100</f>
        <v>3.4168022998681589</v>
      </c>
    </row>
    <row r="32" spans="1:21" ht="21.75" customHeight="1">
      <c r="A32" s="12" t="s">
        <v>155</v>
      </c>
      <c r="C32" s="50">
        <f>IFERROR(VLOOKUP(A32,'درآمد سود سهام'!A:S,9,0),0)</f>
        <v>5632638000</v>
      </c>
      <c r="D32" s="50"/>
      <c r="E32" s="50">
        <f>IFERROR(VLOOKUP(A32,'درآمد ناشی از تغییر قیمت اوراق'!A:Q,9,0),0)</f>
        <v>-16545084149</v>
      </c>
      <c r="F32" s="50"/>
      <c r="G32" s="50">
        <f>IFERROR(VLOOKUP(A32,'درآمد ناشی از فروش'!A:Q,9,0),0)</f>
        <v>0</v>
      </c>
      <c r="H32" s="50"/>
      <c r="I32" s="50">
        <f t="shared" si="0"/>
        <v>-10912446149</v>
      </c>
      <c r="J32" s="50"/>
      <c r="K32" s="53">
        <f t="shared" si="1"/>
        <v>-1.5838971530573027</v>
      </c>
      <c r="L32" s="50"/>
      <c r="M32" s="50">
        <f>IFERROR(VLOOKUP(A32,'درآمد سود سهام'!A:S,15,0),0)</f>
        <v>5632638000</v>
      </c>
      <c r="N32" s="50"/>
      <c r="O32" s="50">
        <f>IFERROR(VLOOKUP(A32,'درآمد ناشی از تغییر قیمت اوراق'!A:Q,17,0),0)</f>
        <v>-16545084149</v>
      </c>
      <c r="P32" s="50"/>
      <c r="Q32" s="50">
        <f>IFERROR(VLOOKUP(A32,'درآمد ناشی از فروش'!A:Q,17,0),0)</f>
        <v>0</v>
      </c>
      <c r="R32" s="50"/>
      <c r="S32" s="50">
        <f t="shared" si="2"/>
        <v>-10912446149</v>
      </c>
      <c r="U32" s="53">
        <f>S32/درآمد!$F$12*100</f>
        <v>1.5956877199302772</v>
      </c>
    </row>
    <row r="33" spans="1:21" ht="21.75" customHeight="1">
      <c r="A33" s="12" t="s">
        <v>36</v>
      </c>
      <c r="C33" s="50">
        <f>IFERROR(VLOOKUP(A33,'درآمد سود سهام'!A:S,9,0),0)</f>
        <v>0</v>
      </c>
      <c r="D33" s="50"/>
      <c r="E33" s="50">
        <f>IFERROR(VLOOKUP(A33,'درآمد ناشی از تغییر قیمت اوراق'!A:Q,9,0),0)</f>
        <v>-12746351387</v>
      </c>
      <c r="F33" s="50"/>
      <c r="G33" s="50">
        <f>IFERROR(VLOOKUP(A33,'درآمد ناشی از فروش'!A:Q,9,0),0)</f>
        <v>0</v>
      </c>
      <c r="H33" s="50"/>
      <c r="I33" s="50">
        <f t="shared" si="0"/>
        <v>-12746351387</v>
      </c>
      <c r="J33" s="50"/>
      <c r="K33" s="53">
        <f t="shared" si="1"/>
        <v>-1.8500810357343558</v>
      </c>
      <c r="L33" s="50"/>
      <c r="M33" s="50">
        <f>IFERROR(VLOOKUP(A33,'درآمد سود سهام'!A:S,15,0),0)</f>
        <v>0</v>
      </c>
      <c r="N33" s="50"/>
      <c r="O33" s="50">
        <f>IFERROR(VLOOKUP(A33,'درآمد ناشی از تغییر قیمت اوراق'!A:Q,17,0),0)</f>
        <v>-12746351387</v>
      </c>
      <c r="P33" s="50"/>
      <c r="Q33" s="50">
        <f>IFERROR(VLOOKUP(A33,'درآمد ناشی از فروش'!A:Q,17,0),0)</f>
        <v>0</v>
      </c>
      <c r="R33" s="50"/>
      <c r="S33" s="50">
        <f t="shared" si="2"/>
        <v>-12746351387</v>
      </c>
      <c r="U33" s="53">
        <f>S33/درآمد!$F$12*100</f>
        <v>1.8638530815582546</v>
      </c>
    </row>
    <row r="34" spans="1:21" ht="21.75" customHeight="1">
      <c r="A34" s="12" t="s">
        <v>14</v>
      </c>
      <c r="C34" s="50">
        <f>IFERROR(VLOOKUP(A34,'درآمد سود سهام'!A:S,9,0),0)</f>
        <v>0</v>
      </c>
      <c r="D34" s="50"/>
      <c r="E34" s="50">
        <f>IFERROR(VLOOKUP(A34,'درآمد ناشی از تغییر قیمت اوراق'!A:Q,9,0),0)</f>
        <v>-14186594328</v>
      </c>
      <c r="F34" s="50"/>
      <c r="G34" s="50">
        <f>IFERROR(VLOOKUP(A34,'درآمد ناشی از فروش'!A:Q,9,0),0)</f>
        <v>0</v>
      </c>
      <c r="H34" s="50"/>
      <c r="I34" s="50">
        <f t="shared" si="0"/>
        <v>-14186594328</v>
      </c>
      <c r="J34" s="50"/>
      <c r="K34" s="53">
        <f t="shared" si="1"/>
        <v>-2.0591264379121088</v>
      </c>
      <c r="L34" s="50"/>
      <c r="M34" s="50">
        <f>IFERROR(VLOOKUP(A34,'درآمد سود سهام'!A:S,15,0),0)</f>
        <v>0</v>
      </c>
      <c r="N34" s="50"/>
      <c r="O34" s="50">
        <f>IFERROR(VLOOKUP(A34,'درآمد ناشی از تغییر قیمت اوراق'!A:Q,17,0),0)</f>
        <v>-14186594328</v>
      </c>
      <c r="P34" s="50"/>
      <c r="Q34" s="50">
        <f>IFERROR(VLOOKUP(A34,'درآمد ناشی از فروش'!A:Q,17,0),0)</f>
        <v>0</v>
      </c>
      <c r="R34" s="50"/>
      <c r="S34" s="50">
        <f t="shared" si="2"/>
        <v>-14186594328</v>
      </c>
      <c r="U34" s="53">
        <f>S34/درآمد!$F$12*100</f>
        <v>2.0744546225226119</v>
      </c>
    </row>
    <row r="35" spans="1:21" ht="21.75" customHeight="1">
      <c r="A35" s="12" t="s">
        <v>19</v>
      </c>
      <c r="C35" s="50">
        <f>IFERROR(VLOOKUP(A35,'درآمد سود سهام'!A:S,9,0),0)</f>
        <v>0</v>
      </c>
      <c r="D35" s="50"/>
      <c r="E35" s="50">
        <f>IFERROR(VLOOKUP(A35,'درآمد ناشی از تغییر قیمت اوراق'!A:Q,9,0),0)</f>
        <v>-16349442889</v>
      </c>
      <c r="F35" s="50"/>
      <c r="G35" s="50">
        <f>IFERROR(VLOOKUP(A35,'درآمد ناشی از فروش'!A:Q,9,0),0)</f>
        <v>0</v>
      </c>
      <c r="H35" s="50"/>
      <c r="I35" s="50">
        <f t="shared" si="0"/>
        <v>-16349442889</v>
      </c>
      <c r="J35" s="50"/>
      <c r="K35" s="53">
        <f t="shared" si="1"/>
        <v>-2.3730551053700379</v>
      </c>
      <c r="L35" s="50"/>
      <c r="M35" s="50">
        <f>IFERROR(VLOOKUP(A35,'درآمد سود سهام'!A:S,15,0),0)</f>
        <v>9048220000</v>
      </c>
      <c r="N35" s="50"/>
      <c r="O35" s="50">
        <f>IFERROR(VLOOKUP(A35,'درآمد ناشی از تغییر قیمت اوراق'!A:Q,17,0),0)</f>
        <v>-25327720148</v>
      </c>
      <c r="P35" s="50"/>
      <c r="Q35" s="50">
        <f>IFERROR(VLOOKUP(A35,'درآمد ناشی از فروش'!A:Q,17,0),0)</f>
        <v>0</v>
      </c>
      <c r="R35" s="50"/>
      <c r="S35" s="50">
        <f t="shared" si="2"/>
        <v>-16279500148</v>
      </c>
      <c r="U35" s="53">
        <f>S35/درآمد!$F$12*100</f>
        <v>2.3804927069580293</v>
      </c>
    </row>
    <row r="36" spans="1:21" ht="21.75" customHeight="1">
      <c r="A36" s="12" t="s">
        <v>27</v>
      </c>
      <c r="C36" s="50">
        <f>IFERROR(VLOOKUP(A36,'درآمد سود سهام'!A:S,9,0),0)</f>
        <v>0</v>
      </c>
      <c r="D36" s="50"/>
      <c r="E36" s="50">
        <f>IFERROR(VLOOKUP(A36,'درآمد ناشی از تغییر قیمت اوراق'!A:Q,9,0),0)</f>
        <v>-10551823877</v>
      </c>
      <c r="F36" s="50"/>
      <c r="G36" s="50">
        <f>IFERROR(VLOOKUP(A36,'درآمد ناشی از فروش'!A:Q,9,0),0)</f>
        <v>0</v>
      </c>
      <c r="H36" s="50"/>
      <c r="I36" s="50">
        <f t="shared" si="0"/>
        <v>-10551823877</v>
      </c>
      <c r="J36" s="50"/>
      <c r="K36" s="53">
        <f t="shared" si="1"/>
        <v>-1.5315542977386352</v>
      </c>
      <c r="L36" s="50"/>
      <c r="M36" s="50">
        <f>IFERROR(VLOOKUP(A36,'درآمد سود سهام'!A:S,15,0),0)</f>
        <v>0</v>
      </c>
      <c r="N36" s="50"/>
      <c r="O36" s="50">
        <f>IFERROR(VLOOKUP(A36,'درآمد ناشی از تغییر قیمت اوراق'!A:Q,17,0),0)</f>
        <v>-10551823877</v>
      </c>
      <c r="P36" s="50"/>
      <c r="Q36" s="50">
        <f>IFERROR(VLOOKUP(A36,'درآمد ناشی از فروش'!A:Q,17,0),0)</f>
        <v>0</v>
      </c>
      <c r="R36" s="50"/>
      <c r="S36" s="50">
        <f t="shared" si="2"/>
        <v>-10551823877</v>
      </c>
      <c r="U36" s="53">
        <f>S36/درآمد!$F$12*100</f>
        <v>1.5429552231915431</v>
      </c>
    </row>
    <row r="37" spans="1:21" ht="21.75" customHeight="1">
      <c r="A37" s="12" t="s">
        <v>153</v>
      </c>
      <c r="C37" s="50">
        <f>IFERROR(VLOOKUP(A37,'درآمد سود سهام'!A:S,9,0),0)</f>
        <v>0</v>
      </c>
      <c r="D37" s="50"/>
      <c r="E37" s="50">
        <f>IFERROR(VLOOKUP(A37,'درآمد ناشی از تغییر قیمت اوراق'!A:Q,9,0),0)</f>
        <v>-8366820640</v>
      </c>
      <c r="F37" s="50"/>
      <c r="G37" s="50">
        <f>IFERROR(VLOOKUP(A37,'درآمد ناشی از فروش'!A:Q,9,0),0)</f>
        <v>0</v>
      </c>
      <c r="H37" s="50"/>
      <c r="I37" s="50">
        <f t="shared" si="0"/>
        <v>-8366820640</v>
      </c>
      <c r="J37" s="50"/>
      <c r="K37" s="53">
        <f>I37/(688961788203)*100</f>
        <v>-1.2144099692122181</v>
      </c>
      <c r="L37" s="50"/>
      <c r="M37" s="50">
        <f>IFERROR(VLOOKUP(A37,'درآمد سود سهام'!A:S,15,0),0)</f>
        <v>0</v>
      </c>
      <c r="N37" s="50"/>
      <c r="O37" s="50">
        <f>IFERROR(VLOOKUP(A37,'درآمد ناشی از تغییر قیمت اوراق'!A:Q,17,0),0)</f>
        <v>-8366820640</v>
      </c>
      <c r="P37" s="50"/>
      <c r="Q37" s="50">
        <f>IFERROR(VLOOKUP(A37,'درآمد ناشی از فروش'!A:Q,17,0),0)</f>
        <v>0</v>
      </c>
      <c r="R37" s="50"/>
      <c r="S37" s="50">
        <f t="shared" si="2"/>
        <v>-8366820640</v>
      </c>
      <c r="U37" s="53">
        <f>S37/درآمد!$F$12*100</f>
        <v>1.223450064982051</v>
      </c>
    </row>
    <row r="38" spans="1:21" ht="21.75" customHeight="1">
      <c r="A38" s="12" t="s">
        <v>33</v>
      </c>
      <c r="C38" s="50">
        <f>IFERROR(VLOOKUP(A38,'درآمد سود سهام'!A:S,9,0),0)</f>
        <v>0</v>
      </c>
      <c r="D38" s="50"/>
      <c r="E38" s="50">
        <f>IFERROR(VLOOKUP(A38,'درآمد ناشی از تغییر قیمت اوراق'!A:Q,9,0),0)</f>
        <v>-1980666609</v>
      </c>
      <c r="F38" s="50"/>
      <c r="G38" s="50">
        <f>IFERROR(VLOOKUP(A38,'درآمد ناشی از فروش'!A:Q,9,0),0)</f>
        <v>0</v>
      </c>
      <c r="H38" s="50"/>
      <c r="I38" s="50">
        <f t="shared" si="0"/>
        <v>-1980666609</v>
      </c>
      <c r="J38" s="50"/>
      <c r="K38" s="53">
        <f t="shared" si="1"/>
        <v>-0.28748569846901351</v>
      </c>
      <c r="L38" s="50"/>
      <c r="M38" s="50">
        <f>IFERROR(VLOOKUP(A38,'درآمد سود سهام'!A:S,15,0),0)</f>
        <v>0</v>
      </c>
      <c r="N38" s="50"/>
      <c r="O38" s="50">
        <f>IFERROR(VLOOKUP(A38,'درآمد ناشی از تغییر قیمت اوراق'!A:Q,17,0),0)</f>
        <v>-1980666609</v>
      </c>
      <c r="P38" s="50"/>
      <c r="Q38" s="50">
        <f>IFERROR(VLOOKUP(A38,'درآمد ناشی از فروش'!A:Q,17,0),0)</f>
        <v>0</v>
      </c>
      <c r="R38" s="50"/>
      <c r="S38" s="50">
        <f t="shared" si="2"/>
        <v>-1980666609</v>
      </c>
      <c r="U38" s="53">
        <f>S38/درآمد!$F$12*100</f>
        <v>0.28962574862711876</v>
      </c>
    </row>
    <row r="39" spans="1:21" ht="21.75" customHeight="1">
      <c r="A39" s="12" t="s">
        <v>21</v>
      </c>
      <c r="C39" s="50">
        <f>IFERROR(VLOOKUP(A39,'درآمد سود سهام'!A:S,9,0),0)</f>
        <v>0</v>
      </c>
      <c r="D39" s="50"/>
      <c r="E39" s="50">
        <f>IFERROR(VLOOKUP(A39,'درآمد ناشی از تغییر قیمت اوراق'!A:Q,9,0),0)</f>
        <v>-515980400</v>
      </c>
      <c r="F39" s="50"/>
      <c r="G39" s="50">
        <f>IFERROR(VLOOKUP(A39,'درآمد ناشی از فروش'!A:Q,9,0),0)</f>
        <v>0</v>
      </c>
      <c r="H39" s="50"/>
      <c r="I39" s="50">
        <f t="shared" si="0"/>
        <v>-515980400</v>
      </c>
      <c r="J39" s="50"/>
      <c r="K39" s="53">
        <f t="shared" si="1"/>
        <v>-7.4892455406825598E-2</v>
      </c>
      <c r="L39" s="50"/>
      <c r="M39" s="50">
        <f>IFERROR(VLOOKUP(A39,'درآمد سود سهام'!A:S,15,0),0)</f>
        <v>0</v>
      </c>
      <c r="N39" s="50"/>
      <c r="O39" s="50">
        <f>IFERROR(VLOOKUP(A39,'درآمد ناشی از تغییر قیمت اوراق'!A:Q,17,0),0)</f>
        <v>-515980400</v>
      </c>
      <c r="P39" s="50"/>
      <c r="Q39" s="50">
        <f>IFERROR(VLOOKUP(A39,'درآمد ناشی از فروش'!A:Q,17,0),0)</f>
        <v>0</v>
      </c>
      <c r="R39" s="50"/>
      <c r="S39" s="50">
        <f t="shared" si="2"/>
        <v>-515980400</v>
      </c>
      <c r="U39" s="53">
        <f>S39/درآمد!$F$12*100</f>
        <v>7.5449956569101834E-2</v>
      </c>
    </row>
    <row r="40" spans="1:21" ht="18.75">
      <c r="A40" s="12" t="s">
        <v>156</v>
      </c>
      <c r="C40" s="50">
        <f>IFERROR(VLOOKUP(A40,'درآمد سود سهام'!A:S,9,0),0)</f>
        <v>0</v>
      </c>
      <c r="D40" s="50"/>
      <c r="E40" s="50">
        <f>IFERROR(VLOOKUP(A40,'درآمد ناشی از تغییر قیمت اوراق'!A:Q,9,0),0)</f>
        <v>-1150537065</v>
      </c>
      <c r="F40" s="50"/>
      <c r="G40" s="50">
        <f>IFERROR(VLOOKUP(A40,'درآمد ناشی از فروش'!A:Q,9,0),0)</f>
        <v>0</v>
      </c>
      <c r="H40" s="50"/>
      <c r="I40" s="50">
        <f t="shared" si="0"/>
        <v>-1150537065</v>
      </c>
      <c r="J40" s="50"/>
      <c r="K40" s="53">
        <f t="shared" si="1"/>
        <v>-0.16699577316195052</v>
      </c>
      <c r="L40" s="50"/>
      <c r="M40" s="50">
        <f>IFERROR(VLOOKUP(A40,'درآمد سود سهام'!A:S,15,0),0)</f>
        <v>0</v>
      </c>
      <c r="N40" s="50"/>
      <c r="O40" s="50">
        <f>IFERROR(VLOOKUP(A40,'درآمد ناشی از تغییر قیمت اوراق'!A:Q,17,0),0)</f>
        <v>-1150537065</v>
      </c>
      <c r="P40" s="50"/>
      <c r="Q40" s="50">
        <f>IFERROR(VLOOKUP(A40,'درآمد ناشی از فروش'!A:Q,17,0),0)</f>
        <v>0</v>
      </c>
      <c r="R40" s="50"/>
      <c r="S40" s="50">
        <f t="shared" si="2"/>
        <v>-1150537065</v>
      </c>
      <c r="U40" s="53">
        <f>S40/درآمد!$F$12*100</f>
        <v>0.16823889354206453</v>
      </c>
    </row>
    <row r="41" spans="1:21" ht="18.75">
      <c r="A41" s="12" t="s">
        <v>147</v>
      </c>
      <c r="C41" s="50">
        <f>IFERROR(VLOOKUP(A41,'درآمد سود سهام'!A:S,9,0),0)</f>
        <v>0</v>
      </c>
      <c r="D41" s="50"/>
      <c r="E41" s="50">
        <f>IFERROR(VLOOKUP(A41,'درآمد ناشی از تغییر قیمت اوراق'!A:Q,9,0),0)</f>
        <v>0</v>
      </c>
      <c r="F41" s="50"/>
      <c r="G41" s="50">
        <f>'درآمد اعمال اختیار'!J9</f>
        <v>860979948</v>
      </c>
      <c r="H41" s="50"/>
      <c r="I41" s="50">
        <f t="shared" si="0"/>
        <v>860979948</v>
      </c>
      <c r="J41" s="50"/>
      <c r="K41" s="53">
        <f t="shared" si="1"/>
        <v>0.12496773590966055</v>
      </c>
      <c r="L41" s="50"/>
      <c r="M41" s="50">
        <f>IFERROR(VLOOKUP(A41,'درآمد سود سهام'!A:S,15,0),0)</f>
        <v>0</v>
      </c>
      <c r="N41" s="50"/>
      <c r="O41" s="50">
        <f>IFERROR(VLOOKUP(A41,'درآمد ناشی از تغییر قیمت اوراق'!A:Q,17,0),0)</f>
        <v>0</v>
      </c>
      <c r="P41" s="50"/>
      <c r="Q41" s="50">
        <f>'درآمد اعمال اختیار'!L9</f>
        <v>860979948</v>
      </c>
      <c r="R41" s="50"/>
      <c r="S41" s="50">
        <f t="shared" si="2"/>
        <v>860979948</v>
      </c>
      <c r="U41" s="53">
        <f>S41/درآمد!$F$12*100</f>
        <v>-0.12589799861286891</v>
      </c>
    </row>
    <row r="42" spans="1:21" ht="19.5" thickBot="1">
      <c r="C42" s="52">
        <f>SUM(C9:C41)</f>
        <v>5632638000</v>
      </c>
      <c r="D42" s="35"/>
      <c r="E42" s="52">
        <f>SUM(E9:E41)</f>
        <v>-700946004943</v>
      </c>
      <c r="F42" s="35"/>
      <c r="G42" s="52">
        <f>SUM(G9:G41)</f>
        <v>860956978</v>
      </c>
      <c r="H42" s="35"/>
      <c r="I42" s="52">
        <f>SUM(I9:I41)</f>
        <v>-694452409965</v>
      </c>
      <c r="J42" s="35"/>
      <c r="K42" s="54">
        <f>SUM(K9:K41)</f>
        <v>-100.79694140604244</v>
      </c>
      <c r="L42" s="35"/>
      <c r="M42" s="52">
        <f>SUM(M9:M41)</f>
        <v>14936247550</v>
      </c>
      <c r="N42" s="35"/>
      <c r="O42" s="52">
        <f>SUM(O9:O41)</f>
        <v>-710178495311</v>
      </c>
      <c r="P42" s="35"/>
      <c r="Q42" s="52">
        <f>SUM(Q9:Q41)</f>
        <v>860956978</v>
      </c>
      <c r="R42" s="35"/>
      <c r="S42" s="52">
        <f>SUM(S9:S41)</f>
        <v>-694381290783</v>
      </c>
      <c r="T42" s="35"/>
      <c r="U42" s="54">
        <f>SUM(U9:U41)</f>
        <v>101.53687665650519</v>
      </c>
    </row>
    <row r="43" spans="1:21" ht="13.5" thickTop="1">
      <c r="C43" s="40"/>
      <c r="E43" s="40"/>
      <c r="G43" s="70"/>
      <c r="I43" s="47"/>
      <c r="M43" s="40"/>
      <c r="O43" s="40"/>
      <c r="Q43" s="40"/>
      <c r="S43" s="47"/>
    </row>
    <row r="44" spans="1:21">
      <c r="C44" s="40"/>
      <c r="D44" s="40"/>
      <c r="E44" s="40"/>
      <c r="F44" s="40"/>
      <c r="G44" s="40"/>
      <c r="M44" s="40"/>
      <c r="O44" s="40"/>
      <c r="Q44" s="40"/>
    </row>
    <row r="45" spans="1:21">
      <c r="M45" s="47"/>
      <c r="O45" s="47"/>
      <c r="Q45" s="40"/>
    </row>
    <row r="46" spans="1:21">
      <c r="O46" s="40"/>
      <c r="Q46" s="40"/>
    </row>
    <row r="47" spans="1:21">
      <c r="O47" s="40"/>
      <c r="Q47" s="40"/>
    </row>
    <row r="48" spans="1:21">
      <c r="Q48" s="47"/>
    </row>
    <row r="50" spans="17:17">
      <c r="Q50" s="40"/>
    </row>
  </sheetData>
  <mergeCells count="8">
    <mergeCell ref="I7:K7"/>
    <mergeCell ref="S7:U7"/>
    <mergeCell ref="A1:U1"/>
    <mergeCell ref="A2:U2"/>
    <mergeCell ref="A3:U3"/>
    <mergeCell ref="A5:U5"/>
    <mergeCell ref="C6:K6"/>
    <mergeCell ref="M6:U6"/>
  </mergeCells>
  <conditionalFormatting sqref="A9:A41">
    <cfRule type="duplicateValues" dxfId="8" priority="126"/>
    <cfRule type="duplicateValues" dxfId="7" priority="127"/>
    <cfRule type="duplicateValues" dxfId="6" priority="128"/>
  </conditionalFormatting>
  <pageMargins left="0.39" right="0.39" top="0.39" bottom="0.39" header="0" footer="0"/>
  <pageSetup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13"/>
  <sheetViews>
    <sheetView rightToLeft="1" view="pageBreakPreview" topLeftCell="A4" zoomScale="154" zoomScaleNormal="100" zoomScaleSheetLayoutView="154" workbookViewId="0">
      <selection activeCell="G24" sqref="G24"/>
    </sheetView>
  </sheetViews>
  <sheetFormatPr defaultRowHeight="12.75"/>
  <cols>
    <col min="1" max="1" width="29.7109375" bestFit="1" customWidth="1"/>
    <col min="2" max="2" width="1.28515625" customWidth="1"/>
    <col min="3" max="3" width="15.5703125" bestFit="1" customWidth="1"/>
    <col min="4" max="4" width="1.28515625" customWidth="1"/>
    <col min="5" max="5" width="15.7109375" bestFit="1" customWidth="1"/>
    <col min="6" max="6" width="1.28515625" customWidth="1"/>
    <col min="7" max="7" width="12.5703125" bestFit="1" customWidth="1"/>
    <col min="8" max="8" width="1.28515625" customWidth="1"/>
    <col min="9" max="9" width="15.85546875" bestFit="1" customWidth="1"/>
    <col min="10" max="10" width="1.28515625" customWidth="1"/>
    <col min="11" max="11" width="15.5703125" bestFit="1" customWidth="1"/>
    <col min="12" max="12" width="1.28515625" customWidth="1"/>
    <col min="13" max="13" width="15.7109375" bestFit="1" customWidth="1"/>
    <col min="14" max="14" width="1.28515625" customWidth="1"/>
    <col min="15" max="15" width="16.140625" bestFit="1" customWidth="1"/>
    <col min="16" max="16" width="1.28515625" customWidth="1"/>
    <col min="17" max="17" width="15.85546875" bestFit="1" customWidth="1"/>
    <col min="18" max="18" width="0.28515625" customWidth="1"/>
  </cols>
  <sheetData>
    <row r="1" spans="1:17" ht="29.1" customHeight="1">
      <c r="A1" s="110" t="str">
        <f>سهام!A1</f>
        <v>صندوق سرمایه گذاری افق دماوند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21.7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</row>
    <row r="3" spans="1:17" ht="21.75" customHeight="1">
      <c r="A3" s="110" t="str">
        <f>سهام!A3</f>
        <v>برای ماه منتهی به 1405/02/31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pans="1:17" ht="14.45" customHeight="1"/>
    <row r="5" spans="1:17" ht="14.45" customHeight="1">
      <c r="A5" s="111" t="s">
        <v>126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4.45" customHeight="1">
      <c r="C6" s="112" t="s">
        <v>73</v>
      </c>
      <c r="D6" s="112"/>
      <c r="E6" s="112"/>
      <c r="F6" s="112"/>
      <c r="G6" s="112"/>
      <c r="H6" s="112"/>
      <c r="I6" s="112"/>
      <c r="K6" s="112" t="s">
        <v>74</v>
      </c>
      <c r="L6" s="112"/>
      <c r="M6" s="112"/>
      <c r="N6" s="112"/>
      <c r="O6" s="112"/>
      <c r="P6" s="112"/>
      <c r="Q6" s="112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1" t="s">
        <v>80</v>
      </c>
      <c r="C8" s="2" t="s">
        <v>81</v>
      </c>
      <c r="E8" s="2" t="s">
        <v>77</v>
      </c>
      <c r="G8" s="2" t="s">
        <v>78</v>
      </c>
      <c r="I8" s="2" t="s">
        <v>37</v>
      </c>
      <c r="K8" s="2" t="s">
        <v>81</v>
      </c>
      <c r="M8" s="2" t="s">
        <v>77</v>
      </c>
      <c r="O8" s="2" t="s">
        <v>78</v>
      </c>
      <c r="Q8" s="2" t="s">
        <v>37</v>
      </c>
    </row>
    <row r="9" spans="1:17" ht="21.75" customHeight="1">
      <c r="A9" s="12" t="s">
        <v>50</v>
      </c>
      <c r="C9" s="50">
        <f>VLOOKUP(A9,'سود اوراق بهادار'!A:Q,7,0)</f>
        <v>5432385926</v>
      </c>
      <c r="D9" s="45"/>
      <c r="E9" s="50">
        <f>'درآمد ناشی از تغییر قیمت اوراق'!I40</f>
        <v>-607783</v>
      </c>
      <c r="F9" s="45"/>
      <c r="G9" s="51">
        <f>'درآمد ناشی از فروش'!I10</f>
        <v>12950908</v>
      </c>
      <c r="H9" s="45"/>
      <c r="I9" s="50">
        <f>C9+E9+G9</f>
        <v>5444729051</v>
      </c>
      <c r="J9" s="45"/>
      <c r="K9" s="50">
        <f>'سود اوراق بهادار'!Q8</f>
        <v>10389277250</v>
      </c>
      <c r="L9" s="45"/>
      <c r="M9" s="51">
        <f>'درآمد ناشی از تغییر قیمت اوراق'!Q40</f>
        <v>-10395283</v>
      </c>
      <c r="N9" s="45"/>
      <c r="O9" s="51">
        <f>'درآمد ناشی از فروش'!Q10</f>
        <v>12950908</v>
      </c>
      <c r="P9" s="45"/>
      <c r="Q9" s="50">
        <f>K9+M9+O9</f>
        <v>10391832875</v>
      </c>
    </row>
    <row r="10" spans="1:17" ht="21.75" customHeight="1" thickBot="1">
      <c r="A10" s="22"/>
      <c r="C10" s="52">
        <f>SUM(C9:C9)</f>
        <v>5432385926</v>
      </c>
      <c r="D10" s="45"/>
      <c r="E10" s="44">
        <f>SUM(E9:E9)</f>
        <v>-607783</v>
      </c>
      <c r="F10" s="45"/>
      <c r="G10" s="44">
        <f>SUM(G9:G9)</f>
        <v>12950908</v>
      </c>
      <c r="H10" s="45"/>
      <c r="I10" s="44">
        <f>SUM(I9:I9)</f>
        <v>5444729051</v>
      </c>
      <c r="J10" s="45"/>
      <c r="K10" s="44">
        <f>SUM(K9:K9)</f>
        <v>10389277250</v>
      </c>
      <c r="L10" s="45"/>
      <c r="M10" s="44">
        <f>SUM(M9:M9)</f>
        <v>-10395283</v>
      </c>
      <c r="N10" s="45"/>
      <c r="O10" s="44">
        <f>SUM(O9:O9)</f>
        <v>12950908</v>
      </c>
      <c r="P10" s="45"/>
      <c r="Q10" s="44">
        <f>SUM(Q9:Q9)</f>
        <v>10391832875</v>
      </c>
    </row>
    <row r="11" spans="1:17" ht="13.5" thickTop="1">
      <c r="C11" s="40"/>
      <c r="E11" s="40"/>
      <c r="G11" s="40"/>
      <c r="I11" s="47"/>
      <c r="K11" s="40"/>
      <c r="M11" s="40"/>
      <c r="O11" s="40"/>
      <c r="Q11" s="47"/>
    </row>
    <row r="12" spans="1:17">
      <c r="C12" s="40"/>
      <c r="E12" s="40"/>
      <c r="G12" s="40"/>
      <c r="K12" s="40"/>
      <c r="M12" s="40"/>
      <c r="O12" s="40"/>
    </row>
    <row r="13" spans="1:17">
      <c r="K13" s="47"/>
      <c r="M13" s="47"/>
      <c r="O13" s="47"/>
    </row>
  </sheetData>
  <mergeCells count="6">
    <mergeCell ref="A5:Q5"/>
    <mergeCell ref="C6:I6"/>
    <mergeCell ref="K6:Q6"/>
    <mergeCell ref="A1:Q1"/>
    <mergeCell ref="A2:Q2"/>
    <mergeCell ref="A3:Q3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صورت وضعیت پرتفوی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2025-12-27T14:20:13Z</cp:lastPrinted>
  <dcterms:created xsi:type="dcterms:W3CDTF">2025-11-23T06:16:00Z</dcterms:created>
  <dcterms:modified xsi:type="dcterms:W3CDTF">2026-05-25T11:59:30Z</dcterms:modified>
</cp:coreProperties>
</file>