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بخشی افق دماوند\عملیات حسابداری\گزارش پرتفوی\1405\04\"/>
    </mc:Choice>
  </mc:AlternateContent>
  <xr:revisionPtr revIDLastSave="0" documentId="13_ncr:1_{76E82B9A-6413-4951-9148-06A06AFE0A8C}" xr6:coauthVersionLast="47" xr6:coauthVersionMax="47" xr10:uidLastSave="{00000000-0000-0000-0000-000000000000}"/>
  <bookViews>
    <workbookView xWindow="-120" yWindow="-120" windowWidth="29040" windowHeight="15840" tabRatio="951" firstSheet="4" activeTab="17" xr2:uid="{00000000-000D-0000-FFFF-FFFF00000000}"/>
  </bookViews>
  <sheets>
    <sheet name="صورت وضعیت پرتفوی" sheetId="22" r:id="rId1"/>
    <sheet name="سهام" sheetId="2" r:id="rId2"/>
    <sheet name="اوراق مشتقه" sheetId="27" r:id="rId3"/>
    <sheet name="اوراق" sheetId="5" r:id="rId4"/>
    <sheet name="تعدیل قیمت" sheetId="28" r:id="rId5"/>
    <sheet name="سپرده" sheetId="7" r:id="rId6"/>
    <sheet name="درآمد" sheetId="8" r:id="rId7"/>
    <sheet name="درآمد سرمایه گذاری در سهام" sheetId="9" r:id="rId8"/>
    <sheet name="درآمد سرمایه گذاری در اوراق" sheetId="11" r:id="rId9"/>
    <sheet name="سود ترجیحی" sheetId="24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اعمال اختیار" sheetId="20" r:id="rId17"/>
    <sheet name="درآمد ناشی از تغییر قیمت اوراق" sheetId="21" r:id="rId18"/>
  </sheets>
  <definedNames>
    <definedName name="_xlnm._FilterDatabase" localSheetId="7" hidden="1">'درآمد سرمایه گذاری در سهام'!$A$8:$U$8</definedName>
    <definedName name="_xlnm._FilterDatabase" localSheetId="12" hidden="1">'درآمد سود سهام'!$A$7:$S$7</definedName>
    <definedName name="_xlnm._FilterDatabase" localSheetId="1" hidden="1">سهام!$A$8:$AA$8</definedName>
    <definedName name="_xlnm.Print_Area" localSheetId="3">اوراق!$A$1:$AL$10</definedName>
    <definedName name="_xlnm.Print_Area" localSheetId="2">'اوراق مشتقه'!$A$1:$AV$16</definedName>
    <definedName name="_xlnm.Print_Area" localSheetId="4">'تعدیل قیمت'!$A$1:$N$10</definedName>
    <definedName name="_xlnm.Print_Area" localSheetId="6">درآمد!$A$1:$K$12</definedName>
    <definedName name="_xlnm.Print_Area" localSheetId="16">'درآمد اعمال اختیار'!$A$1:$M$15</definedName>
    <definedName name="_xlnm.Print_Area" localSheetId="10">'درآمد سپرده بانکی'!$A$1:$J$11</definedName>
    <definedName name="_xlnm.Print_Area" localSheetId="8">'درآمد سرمایه گذاری در اوراق'!$A$1:$R$10</definedName>
    <definedName name="_xlnm.Print_Area" localSheetId="7">'درآمد سرمایه گذاری در سهام'!$A$1:$V$65</definedName>
    <definedName name="_xlnm.Print_Area" localSheetId="12">'درآمد سود سهام'!$A$1:$T$27</definedName>
    <definedName name="_xlnm.Print_Area" localSheetId="17">'درآمد ناشی از تغییر قیمت اوراق'!$A$1:$Q$62</definedName>
    <definedName name="_xlnm.Print_Area" localSheetId="15">'درآمد ناشی از فروش'!$A$1:$Q$29</definedName>
    <definedName name="_xlnm.Print_Area" localSheetId="11">'سایر درآمدها'!$A$1:$F$10</definedName>
    <definedName name="_xlnm.Print_Area" localSheetId="5">سپرده!$A$1:$L$12</definedName>
    <definedName name="_xlnm.Print_Area" localSheetId="13">'سود اوراق بهادار'!$A$1:$R$9</definedName>
    <definedName name="_xlnm.Print_Area" localSheetId="9">'سود ترجیحی'!$A$1:$H$17</definedName>
    <definedName name="_xlnm.Print_Area" localSheetId="14">'سود سپرده بانکی'!$A$1:$N$12</definedName>
    <definedName name="_xlnm.Print_Area" localSheetId="1">سهام!$A$1:$Y$55</definedName>
  </definedNames>
  <calcPr calcId="191029"/>
</workbook>
</file>

<file path=xl/calcChain.xml><?xml version="1.0" encoding="utf-8"?>
<calcChain xmlns="http://schemas.openxmlformats.org/spreadsheetml/2006/main">
  <c r="K9" i="7" l="1"/>
  <c r="K10" i="7"/>
  <c r="K8" i="7"/>
  <c r="I9" i="7"/>
  <c r="I8" i="7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9" i="9"/>
  <c r="M9" i="11"/>
  <c r="L15" i="20"/>
  <c r="Q9" i="9"/>
  <c r="I61" i="21"/>
  <c r="E9" i="11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17" i="9"/>
  <c r="Q10" i="9"/>
  <c r="Q11" i="9"/>
  <c r="Q12" i="9"/>
  <c r="Q13" i="9"/>
  <c r="Q14" i="9"/>
  <c r="Q15" i="9"/>
  <c r="Q16" i="9"/>
  <c r="M10" i="9"/>
  <c r="M11" i="9"/>
  <c r="M12" i="9"/>
  <c r="M13" i="9"/>
  <c r="M14" i="9"/>
  <c r="M15" i="9"/>
  <c r="M16" i="9"/>
  <c r="M17" i="9"/>
  <c r="S17" i="9" s="1"/>
  <c r="M18" i="9"/>
  <c r="S18" i="9" s="1"/>
  <c r="M19" i="9"/>
  <c r="S19" i="9" s="1"/>
  <c r="M20" i="9"/>
  <c r="S20" i="9" s="1"/>
  <c r="M21" i="9"/>
  <c r="S21" i="9" s="1"/>
  <c r="M22" i="9"/>
  <c r="S22" i="9" s="1"/>
  <c r="M23" i="9"/>
  <c r="M24" i="9"/>
  <c r="M25" i="9"/>
  <c r="S25" i="9" s="1"/>
  <c r="M26" i="9"/>
  <c r="M27" i="9"/>
  <c r="M28" i="9"/>
  <c r="M29" i="9"/>
  <c r="S29" i="9" s="1"/>
  <c r="M30" i="9"/>
  <c r="S30" i="9" s="1"/>
  <c r="M31" i="9"/>
  <c r="S31" i="9" s="1"/>
  <c r="M32" i="9"/>
  <c r="S32" i="9" s="1"/>
  <c r="M33" i="9"/>
  <c r="M34" i="9"/>
  <c r="S34" i="9" s="1"/>
  <c r="M35" i="9"/>
  <c r="M36" i="9"/>
  <c r="M37" i="9"/>
  <c r="M38" i="9"/>
  <c r="M39" i="9"/>
  <c r="S39" i="9" s="1"/>
  <c r="M40" i="9"/>
  <c r="M41" i="9"/>
  <c r="S41" i="9" s="1"/>
  <c r="M42" i="9"/>
  <c r="S42" i="9" s="1"/>
  <c r="M43" i="9"/>
  <c r="S43" i="9" s="1"/>
  <c r="M44" i="9"/>
  <c r="S44" i="9" s="1"/>
  <c r="M45" i="9"/>
  <c r="M46" i="9"/>
  <c r="M47" i="9"/>
  <c r="M48" i="9"/>
  <c r="M49" i="9"/>
  <c r="M50" i="9"/>
  <c r="M51" i="9"/>
  <c r="M52" i="9"/>
  <c r="M53" i="9"/>
  <c r="S53" i="9" s="1"/>
  <c r="M54" i="9"/>
  <c r="S54" i="9" s="1"/>
  <c r="M55" i="9"/>
  <c r="M56" i="9"/>
  <c r="M57" i="9"/>
  <c r="M58" i="9"/>
  <c r="M59" i="9"/>
  <c r="M60" i="9"/>
  <c r="M61" i="9"/>
  <c r="M62" i="9"/>
  <c r="M63" i="9"/>
  <c r="M64" i="9"/>
  <c r="M9" i="9"/>
  <c r="M65" i="9" s="1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17" i="9"/>
  <c r="G10" i="9"/>
  <c r="G11" i="9"/>
  <c r="G12" i="9"/>
  <c r="I12" i="9" s="1"/>
  <c r="K12" i="9" s="1"/>
  <c r="G13" i="9"/>
  <c r="G14" i="9"/>
  <c r="G15" i="9"/>
  <c r="G16" i="9"/>
  <c r="G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I26" i="9" s="1"/>
  <c r="K26" i="9" s="1"/>
  <c r="E27" i="9"/>
  <c r="E28" i="9"/>
  <c r="I28" i="9" s="1"/>
  <c r="K28" i="9" s="1"/>
  <c r="E29" i="9"/>
  <c r="I29" i="9" s="1"/>
  <c r="K29" i="9" s="1"/>
  <c r="E30" i="9"/>
  <c r="E31" i="9"/>
  <c r="E32" i="9"/>
  <c r="E33" i="9"/>
  <c r="E34" i="9"/>
  <c r="E35" i="9"/>
  <c r="E36" i="9"/>
  <c r="E37" i="9"/>
  <c r="E38" i="9"/>
  <c r="I38" i="9" s="1"/>
  <c r="K38" i="9" s="1"/>
  <c r="E39" i="9"/>
  <c r="E40" i="9"/>
  <c r="I40" i="9" s="1"/>
  <c r="K40" i="9" s="1"/>
  <c r="E41" i="9"/>
  <c r="E42" i="9"/>
  <c r="E43" i="9"/>
  <c r="E44" i="9"/>
  <c r="E45" i="9"/>
  <c r="E46" i="9"/>
  <c r="E47" i="9"/>
  <c r="E48" i="9"/>
  <c r="E49" i="9"/>
  <c r="E50" i="9"/>
  <c r="E51" i="9"/>
  <c r="E52" i="9"/>
  <c r="I52" i="9" s="1"/>
  <c r="K52" i="9" s="1"/>
  <c r="E53" i="9"/>
  <c r="E54" i="9"/>
  <c r="E55" i="9"/>
  <c r="E56" i="9"/>
  <c r="E57" i="9"/>
  <c r="E58" i="9"/>
  <c r="E59" i="9"/>
  <c r="E60" i="9"/>
  <c r="E61" i="9"/>
  <c r="E62" i="9"/>
  <c r="E63" i="9"/>
  <c r="E64" i="9"/>
  <c r="I64" i="9" s="1"/>
  <c r="K64" i="9" s="1"/>
  <c r="E9" i="9"/>
  <c r="C10" i="9"/>
  <c r="C11" i="9"/>
  <c r="C12" i="9"/>
  <c r="C13" i="9"/>
  <c r="C14" i="9"/>
  <c r="C15" i="9"/>
  <c r="C16" i="9"/>
  <c r="C17" i="9"/>
  <c r="C18" i="9"/>
  <c r="C19" i="9"/>
  <c r="I19" i="9" s="1"/>
  <c r="K19" i="9" s="1"/>
  <c r="C20" i="9"/>
  <c r="C21" i="9"/>
  <c r="C22" i="9"/>
  <c r="I22" i="9" s="1"/>
  <c r="K22" i="9" s="1"/>
  <c r="C23" i="9"/>
  <c r="C24" i="9"/>
  <c r="C25" i="9"/>
  <c r="C26" i="9"/>
  <c r="C27" i="9"/>
  <c r="C28" i="9"/>
  <c r="C29" i="9"/>
  <c r="C30" i="9"/>
  <c r="C31" i="9"/>
  <c r="I31" i="9" s="1"/>
  <c r="K31" i="9" s="1"/>
  <c r="C32" i="9"/>
  <c r="C33" i="9"/>
  <c r="C34" i="9"/>
  <c r="I34" i="9" s="1"/>
  <c r="K34" i="9" s="1"/>
  <c r="C35" i="9"/>
  <c r="C36" i="9"/>
  <c r="C37" i="9"/>
  <c r="C38" i="9"/>
  <c r="C39" i="9"/>
  <c r="C40" i="9"/>
  <c r="C41" i="9"/>
  <c r="C42" i="9"/>
  <c r="C43" i="9"/>
  <c r="I43" i="9" s="1"/>
  <c r="K43" i="9" s="1"/>
  <c r="C44" i="9"/>
  <c r="C45" i="9"/>
  <c r="C46" i="9"/>
  <c r="I46" i="9" s="1"/>
  <c r="K46" i="9" s="1"/>
  <c r="C47" i="9"/>
  <c r="C48" i="9"/>
  <c r="C49" i="9"/>
  <c r="C50" i="9"/>
  <c r="C51" i="9"/>
  <c r="C52" i="9"/>
  <c r="C53" i="9"/>
  <c r="C54" i="9"/>
  <c r="C55" i="9"/>
  <c r="C56" i="9"/>
  <c r="C57" i="9"/>
  <c r="C58" i="9"/>
  <c r="I58" i="9" s="1"/>
  <c r="K58" i="9" s="1"/>
  <c r="C59" i="9"/>
  <c r="C60" i="9"/>
  <c r="C61" i="9"/>
  <c r="C62" i="9"/>
  <c r="C63" i="9"/>
  <c r="C64" i="9"/>
  <c r="C9" i="9"/>
  <c r="C65" i="9" s="1"/>
  <c r="O9" i="11"/>
  <c r="G9" i="11"/>
  <c r="Q58" i="21"/>
  <c r="Q59" i="21"/>
  <c r="Q60" i="21"/>
  <c r="Q57" i="21"/>
  <c r="I56" i="21"/>
  <c r="I57" i="21"/>
  <c r="I58" i="21"/>
  <c r="I59" i="21"/>
  <c r="I60" i="21"/>
  <c r="I55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54" i="21"/>
  <c r="Q8" i="21"/>
  <c r="M61" i="21"/>
  <c r="O61" i="21"/>
  <c r="G61" i="21"/>
  <c r="E61" i="21"/>
  <c r="F15" i="20"/>
  <c r="J15" i="20"/>
  <c r="H15" i="20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8" i="19"/>
  <c r="M9" i="18"/>
  <c r="M10" i="18"/>
  <c r="M8" i="18"/>
  <c r="G9" i="18"/>
  <c r="G10" i="18"/>
  <c r="G8" i="18"/>
  <c r="O27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8" i="15"/>
  <c r="AK9" i="5"/>
  <c r="Q10" i="2"/>
  <c r="Y9" i="2"/>
  <c r="A1" i="13"/>
  <c r="A1" i="11"/>
  <c r="A1" i="9"/>
  <c r="A1" i="8"/>
  <c r="A1" i="7"/>
  <c r="A1" i="28"/>
  <c r="A1" i="5"/>
  <c r="A1" i="27"/>
  <c r="Y55" i="2"/>
  <c r="Y54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9" i="2"/>
  <c r="S40" i="9" l="1"/>
  <c r="S28" i="9"/>
  <c r="S62" i="9"/>
  <c r="S50" i="9"/>
  <c r="S38" i="9"/>
  <c r="S26" i="9"/>
  <c r="S49" i="9"/>
  <c r="S37" i="9"/>
  <c r="I48" i="9"/>
  <c r="K48" i="9" s="1"/>
  <c r="I36" i="9"/>
  <c r="K36" i="9" s="1"/>
  <c r="I24" i="9"/>
  <c r="K24" i="9" s="1"/>
  <c r="S48" i="9"/>
  <c r="S36" i="9"/>
  <c r="S24" i="9"/>
  <c r="I23" i="9"/>
  <c r="K23" i="9" s="1"/>
  <c r="E65" i="9"/>
  <c r="S55" i="9"/>
  <c r="S63" i="9"/>
  <c r="I60" i="9"/>
  <c r="K60" i="9" s="1"/>
  <c r="S23" i="9"/>
  <c r="I17" i="9"/>
  <c r="K17" i="9" s="1"/>
  <c r="I57" i="9"/>
  <c r="K57" i="9" s="1"/>
  <c r="I45" i="9"/>
  <c r="K45" i="9" s="1"/>
  <c r="I33" i="9"/>
  <c r="K33" i="9" s="1"/>
  <c r="I21" i="9"/>
  <c r="K21" i="9" s="1"/>
  <c r="S56" i="9"/>
  <c r="I56" i="9"/>
  <c r="K56" i="9" s="1"/>
  <c r="I44" i="9"/>
  <c r="K44" i="9" s="1"/>
  <c r="I32" i="9"/>
  <c r="K32" i="9" s="1"/>
  <c r="I20" i="9"/>
  <c r="K20" i="9" s="1"/>
  <c r="I55" i="9"/>
  <c r="K55" i="9" s="1"/>
  <c r="I54" i="9"/>
  <c r="K54" i="9" s="1"/>
  <c r="I42" i="9"/>
  <c r="K42" i="9" s="1"/>
  <c r="I30" i="9"/>
  <c r="K30" i="9" s="1"/>
  <c r="I18" i="9"/>
  <c r="K18" i="9" s="1"/>
  <c r="I53" i="9"/>
  <c r="K53" i="9" s="1"/>
  <c r="I41" i="9"/>
  <c r="K41" i="9" s="1"/>
  <c r="S64" i="9"/>
  <c r="S52" i="9"/>
  <c r="S51" i="9"/>
  <c r="S27" i="9"/>
  <c r="I63" i="9"/>
  <c r="K63" i="9" s="1"/>
  <c r="I51" i="9"/>
  <c r="K51" i="9" s="1"/>
  <c r="I39" i="9"/>
  <c r="K39" i="9" s="1"/>
  <c r="I27" i="9"/>
  <c r="K27" i="9" s="1"/>
  <c r="I11" i="9"/>
  <c r="K11" i="9" s="1"/>
  <c r="I62" i="9"/>
  <c r="K62" i="9" s="1"/>
  <c r="I50" i="9"/>
  <c r="K50" i="9" s="1"/>
  <c r="I10" i="9"/>
  <c r="K10" i="9" s="1"/>
  <c r="S15" i="9"/>
  <c r="S61" i="9"/>
  <c r="I61" i="9"/>
  <c r="K61" i="9" s="1"/>
  <c r="I49" i="9"/>
  <c r="K49" i="9" s="1"/>
  <c r="I37" i="9"/>
  <c r="K37" i="9" s="1"/>
  <c r="I25" i="9"/>
  <c r="K25" i="9" s="1"/>
  <c r="S60" i="9"/>
  <c r="S59" i="9"/>
  <c r="S47" i="9"/>
  <c r="S35" i="9"/>
  <c r="I59" i="9"/>
  <c r="K59" i="9" s="1"/>
  <c r="I47" i="9"/>
  <c r="K47" i="9" s="1"/>
  <c r="I35" i="9"/>
  <c r="K35" i="9" s="1"/>
  <c r="S58" i="9"/>
  <c r="S46" i="9"/>
  <c r="S57" i="9"/>
  <c r="S45" i="9"/>
  <c r="S33" i="9"/>
  <c r="O65" i="9"/>
  <c r="S13" i="9"/>
  <c r="S11" i="9"/>
  <c r="S10" i="9"/>
  <c r="Q65" i="9"/>
  <c r="I15" i="9"/>
  <c r="K15" i="9" s="1"/>
  <c r="I16" i="9"/>
  <c r="K16" i="9" s="1"/>
  <c r="I14" i="9"/>
  <c r="K14" i="9" s="1"/>
  <c r="G65" i="9"/>
  <c r="I13" i="9"/>
  <c r="K13" i="9" s="1"/>
  <c r="S16" i="9"/>
  <c r="S14" i="9"/>
  <c r="S12" i="9"/>
  <c r="S9" i="9"/>
  <c r="I9" i="9"/>
  <c r="K9" i="9" s="1"/>
  <c r="Q61" i="21"/>
  <c r="W55" i="2"/>
  <c r="U55" i="2"/>
  <c r="O55" i="2"/>
  <c r="K55" i="2"/>
  <c r="G55" i="2"/>
  <c r="E55" i="2"/>
  <c r="A3" i="28"/>
  <c r="A3" i="27"/>
  <c r="C10" i="14"/>
  <c r="C11" i="7"/>
  <c r="E11" i="7"/>
  <c r="G11" i="7"/>
  <c r="K10" i="28"/>
  <c r="S65" i="9" l="1"/>
  <c r="F8" i="8" s="1"/>
  <c r="I65" i="9"/>
  <c r="Q8" i="17"/>
  <c r="K9" i="11" s="1"/>
  <c r="K10" i="11" s="1"/>
  <c r="K8" i="17"/>
  <c r="M27" i="15"/>
  <c r="AK10" i="5"/>
  <c r="Q10" i="5"/>
  <c r="S10" i="5"/>
  <c r="W10" i="5"/>
  <c r="AA10" i="5"/>
  <c r="AG10" i="5"/>
  <c r="AI10" i="5"/>
  <c r="E9" i="24"/>
  <c r="G29" i="19"/>
  <c r="Q29" i="19"/>
  <c r="O29" i="19"/>
  <c r="M29" i="19"/>
  <c r="E29" i="19"/>
  <c r="G11" i="18"/>
  <c r="I10" i="7"/>
  <c r="K27" i="15"/>
  <c r="I27" i="15"/>
  <c r="K11" i="7" l="1"/>
  <c r="I11" i="7"/>
  <c r="I29" i="19"/>
  <c r="S27" i="15"/>
  <c r="Q27" i="15"/>
  <c r="G10" i="13"/>
  <c r="G9" i="13"/>
  <c r="G8" i="13"/>
  <c r="C10" i="13"/>
  <c r="C9" i="13"/>
  <c r="C8" i="13"/>
  <c r="E10" i="14"/>
  <c r="F11" i="8" s="1"/>
  <c r="J11" i="8" s="1"/>
  <c r="G9" i="17"/>
  <c r="A1" i="21"/>
  <c r="A1" i="20"/>
  <c r="A1" i="19"/>
  <c r="A1" i="18"/>
  <c r="A1" i="17"/>
  <c r="A1" i="15"/>
  <c r="A1" i="14"/>
  <c r="K65" i="9" l="1"/>
  <c r="L11" i="8"/>
  <c r="M11" i="8"/>
  <c r="O10" i="11"/>
  <c r="A3" i="24"/>
  <c r="A3" i="21"/>
  <c r="A3" i="20"/>
  <c r="A3" i="19"/>
  <c r="A3" i="18"/>
  <c r="A3" i="17"/>
  <c r="C9" i="11" s="1"/>
  <c r="I9" i="11" s="1"/>
  <c r="A3" i="15"/>
  <c r="A3" i="14"/>
  <c r="A3" i="13"/>
  <c r="A3" i="11"/>
  <c r="A3" i="9"/>
  <c r="A3" i="8"/>
  <c r="A3" i="7"/>
  <c r="A3" i="5"/>
  <c r="M9" i="17"/>
  <c r="F10" i="24" l="1"/>
  <c r="E10" i="24"/>
  <c r="D10" i="24"/>
  <c r="A1" i="24"/>
  <c r="M10" i="11" l="1"/>
  <c r="C11" i="13"/>
  <c r="E9" i="13" s="1"/>
  <c r="G11" i="13"/>
  <c r="F10" i="8" s="1"/>
  <c r="J10" i="8" s="1"/>
  <c r="M11" i="18"/>
  <c r="K11" i="18"/>
  <c r="I11" i="18"/>
  <c r="E11" i="18"/>
  <c r="C11" i="18"/>
  <c r="Q9" i="17"/>
  <c r="O9" i="17"/>
  <c r="I9" i="17"/>
  <c r="E8" i="13" l="1"/>
  <c r="L10" i="8"/>
  <c r="M10" i="8"/>
  <c r="I8" i="13"/>
  <c r="I10" i="13"/>
  <c r="E10" i="13"/>
  <c r="E11" i="13" s="1"/>
  <c r="I9" i="13"/>
  <c r="K9" i="17"/>
  <c r="C10" i="11"/>
  <c r="E10" i="11"/>
  <c r="Q9" i="11"/>
  <c r="G10" i="11"/>
  <c r="J8" i="8" l="1"/>
  <c r="L8" i="8"/>
  <c r="M8" i="8"/>
  <c r="Q10" i="11"/>
  <c r="F9" i="8" s="1"/>
  <c r="J9" i="8" s="1"/>
  <c r="I10" i="11"/>
  <c r="I11" i="13"/>
  <c r="J12" i="8" l="1"/>
  <c r="F12" i="8"/>
  <c r="L9" i="8"/>
  <c r="L12" i="8" s="1"/>
  <c r="L14" i="8" s="1"/>
  <c r="M9" i="8"/>
  <c r="M12" i="8" s="1"/>
  <c r="U12" i="9" l="1"/>
  <c r="U24" i="9"/>
  <c r="U36" i="9"/>
  <c r="U48" i="9"/>
  <c r="U60" i="9"/>
  <c r="U13" i="9"/>
  <c r="U25" i="9"/>
  <c r="U37" i="9"/>
  <c r="U49" i="9"/>
  <c r="U61" i="9"/>
  <c r="U22" i="9"/>
  <c r="U14" i="9"/>
  <c r="U26" i="9"/>
  <c r="U38" i="9"/>
  <c r="U50" i="9"/>
  <c r="U62" i="9"/>
  <c r="U23" i="9"/>
  <c r="U15" i="9"/>
  <c r="U27" i="9"/>
  <c r="U39" i="9"/>
  <c r="U51" i="9"/>
  <c r="U63" i="9"/>
  <c r="U10" i="9"/>
  <c r="U35" i="9"/>
  <c r="U16" i="9"/>
  <c r="U28" i="9"/>
  <c r="U40" i="9"/>
  <c r="U52" i="9"/>
  <c r="U64" i="9"/>
  <c r="U34" i="9"/>
  <c r="U17" i="9"/>
  <c r="U29" i="9"/>
  <c r="U41" i="9"/>
  <c r="U53" i="9"/>
  <c r="U9" i="9"/>
  <c r="U46" i="9"/>
  <c r="U59" i="9"/>
  <c r="U18" i="9"/>
  <c r="U30" i="9"/>
  <c r="U42" i="9"/>
  <c r="U54" i="9"/>
  <c r="U47" i="9"/>
  <c r="U19" i="9"/>
  <c r="U31" i="9"/>
  <c r="U43" i="9"/>
  <c r="U55" i="9"/>
  <c r="U11" i="9"/>
  <c r="U20" i="9"/>
  <c r="U32" i="9"/>
  <c r="U44" i="9"/>
  <c r="U56" i="9"/>
  <c r="U58" i="9"/>
  <c r="U21" i="9"/>
  <c r="U33" i="9"/>
  <c r="U45" i="9"/>
  <c r="U57" i="9"/>
  <c r="H8" i="8"/>
  <c r="M15" i="8"/>
  <c r="U65" i="9" l="1"/>
  <c r="H11" i="8"/>
  <c r="H10" i="8"/>
  <c r="H9" i="8"/>
  <c r="H12" i="8" l="1"/>
</calcChain>
</file>

<file path=xl/sharedStrings.xml><?xml version="1.0" encoding="utf-8"?>
<sst xmlns="http://schemas.openxmlformats.org/spreadsheetml/2006/main" count="535" uniqueCount="213">
  <si>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</si>
  <si>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</si>
  <si>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</si>
  <si>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</si>
  <si>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</si>
  <si>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</si>
  <si>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</si>
  <si>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</si>
  <si>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</si>
  <si>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</si>
  <si>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</si>
  <si>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پتروشیمی پارس</t>
  </si>
  <si>
    <t>پتروشیمی پردیس</t>
  </si>
  <si>
    <t>پتروشیمی تندگویان</t>
  </si>
  <si>
    <t>پتروشیمی فناوران</t>
  </si>
  <si>
    <t>پتروشیمی نوری</t>
  </si>
  <si>
    <t>پتروشیمی‌ خارک‌</t>
  </si>
  <si>
    <t>پتروشیمی‌شیراز</t>
  </si>
  <si>
    <t>پلیمر آریا ساسول</t>
  </si>
  <si>
    <t>تولیدات پتروشیمی قائد بصیر</t>
  </si>
  <si>
    <t>تولیدی و صنعتی گوهرفام</t>
  </si>
  <si>
    <t>توکا رنگ فولاد سپاهان</t>
  </si>
  <si>
    <t>دوده‌ صنعتی‌ پارس‌</t>
  </si>
  <si>
    <t>س. نفت و گاز و پتروشیمی تأمین</t>
  </si>
  <si>
    <t>سرمایه‌گذاری صنایع پتروشیمی‌</t>
  </si>
  <si>
    <t>صنایع پتروشیمی خلیج فارس</t>
  </si>
  <si>
    <t>صنایع شیمیایی کیمیاگران امروز</t>
  </si>
  <si>
    <t>گ.س.وت.ص.پتروشیمی خلیج فارس</t>
  </si>
  <si>
    <t>گسترش نفت و گاز پارسیان</t>
  </si>
  <si>
    <t>گلتاش‌</t>
  </si>
  <si>
    <t>مدیریت صنعت شوینده ت.ص.بهشهر</t>
  </si>
  <si>
    <t>معدنی‌ املاح‌  ایران‌</t>
  </si>
  <si>
    <t>ملی شیمی کشاورز</t>
  </si>
  <si>
    <t>نیروکلر</t>
  </si>
  <si>
    <t>کربن‌ ایران‌</t>
  </si>
  <si>
    <t>کلر پارس</t>
  </si>
  <si>
    <t>جمع</t>
  </si>
  <si>
    <t>نام سهام</t>
  </si>
  <si>
    <t>قیمت اعمال</t>
  </si>
  <si>
    <t>تاریخ اعمال</t>
  </si>
  <si>
    <t>نرخ سود موثر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</si>
  <si>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</si>
  <si>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</si>
  <si>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</si>
  <si>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</si>
  <si>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</si>
  <si>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</si>
  <si>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</si>
  <si>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</si>
  <si>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اندیمشک07-6ماهه23%</t>
  </si>
  <si>
    <t>بله</t>
  </si>
  <si>
    <t>1402/10/06</t>
  </si>
  <si>
    <t>1407/10/06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</si>
  <si>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</si>
  <si>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</si>
  <si>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</si>
  <si>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</si>
  <si>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</si>
  <si>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</si>
  <si>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</si>
  <si>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</si>
  <si>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</si>
  <si>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</si>
  <si>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</si>
  <si>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</si>
  <si>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</si>
  <si>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</si>
  <si>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</si>
  <si>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</si>
  <si>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</si>
  <si>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</si>
  <si>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</si>
  <si>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</si>
  <si>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</si>
  <si>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</si>
  <si>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</si>
  <si>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</si>
  <si>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</si>
  <si>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جم</t>
  </si>
  <si>
    <t>عنوان</t>
  </si>
  <si>
    <t>درآمد سود اوراق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</si>
  <si>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</si>
  <si>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</si>
  <si>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</si>
  <si>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</si>
  <si>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</si>
  <si>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</si>
  <si>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</si>
  <si>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</si>
  <si>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</si>
  <si>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</si>
  <si>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</si>
  <si>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</si>
  <si>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</si>
  <si>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</si>
  <si>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</si>
  <si>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</si>
  <si>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</si>
  <si>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</si>
  <si>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</si>
  <si>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</si>
  <si>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</si>
  <si>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</si>
  <si>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</si>
  <si>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</si>
  <si>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</si>
  <si>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</si>
  <si>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</si>
  <si>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</si>
  <si>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</si>
  <si>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</si>
  <si>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</si>
  <si>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</si>
  <si>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</si>
  <si>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</si>
  <si>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</si>
  <si>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.</t>
  </si>
  <si>
    <t>در اجرای ابلاغیه شماره 12020093 مورخ 1396/09/05 سازمان بورس اوراق بهادار</t>
  </si>
  <si>
    <t>گزارش افشا پرتفوی ماهانه</t>
  </si>
  <si>
    <t>1-2-سرمایه‌گذاری در اوراق بهادار با درآمد ثابت یا علی‌الحساب</t>
  </si>
  <si>
    <t>1-3-سرمایه‌گذاری در  سپرده‌ بانکی</t>
  </si>
  <si>
    <t>سپرده کوتاه مدت بانک پاسارگاد</t>
  </si>
  <si>
    <t>سپرده کوتاه مدت بانک صادرات</t>
  </si>
  <si>
    <t>سپرده کوتاه مدت بانک سینا</t>
  </si>
  <si>
    <t>1-2-درآمد حاصل از سرمایه­گذاری در سهام و حق تقدم سهام</t>
  </si>
  <si>
    <t>2-2-درآمد حاصل از سرمایه­گذاری در اوراق بهادار با درآمد ثابت:</t>
  </si>
  <si>
    <t>3-2-درآمد حاصل از سرمایه­گذاری در سپرده بانکی و گواهی سپرده</t>
  </si>
  <si>
    <t>4-2-سایر درآمدها</t>
  </si>
  <si>
    <t>تأمین سرمایه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</si>
  <si>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</si>
  <si>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</si>
  <si>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</si>
  <si>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 xml:space="preserve">صکوک مرابحه اندیمشک07-6ماهه23% </t>
  </si>
  <si>
    <t>33</t>
  </si>
  <si>
    <t xml:space="preserve"> </t>
  </si>
  <si>
    <t>پتروشیمی مارون</t>
  </si>
  <si>
    <t>سپرده بانک پاسارگاد</t>
  </si>
  <si>
    <t>سپرده بانک پاسارگاد بانکداری دیجیتال</t>
  </si>
  <si>
    <t>نوع موقعیت</t>
  </si>
  <si>
    <t>1404/12/13</t>
  </si>
  <si>
    <t>-</t>
  </si>
  <si>
    <t>موقعیت فروش</t>
  </si>
  <si>
    <t>اختیار خرید</t>
  </si>
  <si>
    <t>اختیارخ فارس-10000-1404/12/13</t>
  </si>
  <si>
    <t>استراتژی ماخوذه</t>
  </si>
  <si>
    <t>نوع اختیار</t>
  </si>
  <si>
    <t>پتروشیمی اروند</t>
  </si>
  <si>
    <t>پتروشیمی امیرکبیر</t>
  </si>
  <si>
    <t>پتروشیمی جم پیلن</t>
  </si>
  <si>
    <t>کارخانجات تولیدی نیروترانسفو</t>
  </si>
  <si>
    <t>پتروشیمی شازند</t>
  </si>
  <si>
    <t>اطلاعات آماری مرتبط با موقعیت های اخذ شده در اوراق اختیار معامله توسط صندوق سرمایه گذاری:</t>
  </si>
  <si>
    <t>0.00%</t>
  </si>
  <si>
    <t>دلیل تعدیل</t>
  </si>
  <si>
    <t>خالص ارزش فروش تعدیل شده</t>
  </si>
  <si>
    <t>درصد تعدیل</t>
  </si>
  <si>
    <t>قیمت تعدیل شده</t>
  </si>
  <si>
    <t>قیمت پایانی</t>
  </si>
  <si>
    <t>نام اوراق بهادار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</si>
  <si>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</si>
  <si>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</si>
  <si>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تصمیم مدیریت</t>
  </si>
  <si>
    <t>1405/01/30</t>
  </si>
  <si>
    <t>1405/02/27</t>
  </si>
  <si>
    <t>1405/01/24</t>
  </si>
  <si>
    <t>برای ماه منتهی به 1405/04/31</t>
  </si>
  <si>
    <t>صندوق سرمایه‌گذاری بخشی افق دماوند</t>
  </si>
  <si>
    <t>صندوق سرمایه‌گذاری افق دماوند</t>
  </si>
  <si>
    <t>1405/03/31</t>
  </si>
  <si>
    <t>1405/04/31</t>
  </si>
  <si>
    <t>بانک خاورمیانه</t>
  </si>
  <si>
    <t>بانک صادرات ایران</t>
  </si>
  <si>
    <t>بورس کالای ایران</t>
  </si>
  <si>
    <t>پالایش نفت اصفهان</t>
  </si>
  <si>
    <t>پالایش نفت بندرعباس</t>
  </si>
  <si>
    <t>سرمایه‌ گذاری‌ البرز(هلدینگ‌</t>
  </si>
  <si>
    <t>سیمان ساوه</t>
  </si>
  <si>
    <t>سیمان‌شاهرود</t>
  </si>
  <si>
    <t>لابراتوارداروسازی‌  دکترعبیدی‌</t>
  </si>
  <si>
    <t>ملی‌ صنایع‌ مس‌ ایران‌</t>
  </si>
  <si>
    <t>کولان سل</t>
  </si>
  <si>
    <t>سیمان‌ خزر</t>
  </si>
  <si>
    <t>سیمان‌هگمتان‌</t>
  </si>
  <si>
    <t>سیمان‌غرب‌</t>
  </si>
  <si>
    <t>شیرپاستوریزه‌پگاه‌اصفهان‌</t>
  </si>
  <si>
    <t>‫دوره یک ماهه منتهی 31 تیر 1405</t>
  </si>
  <si>
    <t>اختیارخ شپنا-6500-1405/04/17</t>
  </si>
  <si>
    <t>اختیارخ شپنا-6000-1405/04/17</t>
  </si>
  <si>
    <t>اختیارخ وبصادر-600-1405/05/20</t>
  </si>
  <si>
    <t>اختیارخ وبصادر-550-1405/05/20</t>
  </si>
  <si>
    <t>اختیارخ فملی-18000-1405/05/14</t>
  </si>
  <si>
    <t>1405/04/17</t>
  </si>
  <si>
    <t>1405/05/20</t>
  </si>
  <si>
    <t>1405/05/14</t>
  </si>
  <si>
    <t>اختیارخ وبصادر-600-1405/03/20</t>
  </si>
  <si>
    <t>1405/03/27</t>
  </si>
  <si>
    <t>1405/03/16</t>
  </si>
  <si>
    <t>1405/04/30</t>
  </si>
  <si>
    <t>1405/03/24</t>
  </si>
  <si>
    <t>1405/04/25</t>
  </si>
  <si>
    <t>1405/04/21</t>
  </si>
  <si>
    <t>1405/04/07</t>
  </si>
  <si>
    <t>1405/03/03</t>
  </si>
  <si>
    <t>1405/04/24</t>
  </si>
  <si>
    <t>1405/03/17</t>
  </si>
  <si>
    <t>1405/04/10</t>
  </si>
  <si>
    <t>پلی پروپیلن جم - جم پیلن</t>
  </si>
  <si>
    <t>اختیارخ شستا-2000-1405/04/10</t>
  </si>
  <si>
    <t>1405/03/20</t>
  </si>
  <si>
    <t>1405/04/18</t>
  </si>
  <si>
    <t>پالايش نفت بندر عباس</t>
  </si>
  <si>
    <t>ملي صنايع مس ايران</t>
  </si>
  <si>
    <t>سپرده کوتاه مدت بانک گردشگری مرکزی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</si>
</sst>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-;\(#,##0\)"/>
    <numFmt numFmtId="166" formatCode="_(* #,##0_);_(* \(#,##0\);_(* &quot;-&quot;??_);_(@_)"/>
    <numFmt numFmtId="167" formatCode="#,##0.000_);\(#,##0.000\)"/>
  </numFmts>
  <fonts count="2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sz val="14"/>
      <color indexed="8"/>
      <name val="B Nazanin"/>
      <charset val="178"/>
    </font>
    <font>
      <sz val="18"/>
      <color indexed="8"/>
      <name val="B Nazanin"/>
      <charset val="178"/>
    </font>
    <font>
      <u/>
      <sz val="14"/>
      <color indexed="8"/>
      <name val="B Nazanin"/>
      <charset val="178"/>
    </font>
    <font>
      <b/>
      <u/>
      <sz val="14"/>
      <color indexed="8"/>
      <name val="B Nazanin"/>
      <charset val="178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sz val="12"/>
      <color rgb="FF000000"/>
      <name val="Arial"/>
      <family val="2"/>
      <charset val="178"/>
    </font>
    <font>
      <b/>
      <sz val="18"/>
      <name val="B Nazanin"/>
      <charset val="178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12" fillId="0" borderId="0"/>
    <xf numFmtId="164" fontId="12" fillId="0" borderId="0" applyFont="0" applyFill="0" applyBorder="0" applyAlignment="0" applyProtection="0"/>
    <xf numFmtId="0" fontId="14" fillId="0" borderId="0"/>
    <xf numFmtId="0" fontId="11" fillId="0" borderId="0"/>
    <xf numFmtId="164" fontId="19" fillId="0" borderId="0" applyFont="0" applyFill="0" applyBorder="0" applyAlignment="0" applyProtection="0"/>
  </cellStyleXfs>
  <cellXfs count="12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4" xfId="0" applyFont="1" applyBorder="1" applyAlignment="1">
      <alignment vertic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9" fillId="0" borderId="0" xfId="1" applyFont="1"/>
    <xf numFmtId="0" fontId="10" fillId="0" borderId="0" xfId="1" applyFont="1"/>
    <xf numFmtId="3" fontId="4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readingOrder="2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2" fillId="0" borderId="0" xfId="0" applyFont="1" applyAlignment="1">
      <alignment horizontal="center" vertical="center" readingOrder="2"/>
    </xf>
    <xf numFmtId="0" fontId="3" fillId="0" borderId="4" xfId="0" applyFont="1" applyBorder="1" applyAlignment="1">
      <alignment horizontal="center" vertical="center"/>
    </xf>
    <xf numFmtId="37" fontId="4" fillId="0" borderId="0" xfId="0" applyNumberFormat="1" applyFont="1" applyAlignment="1">
      <alignment horizontal="center"/>
    </xf>
    <xf numFmtId="37" fontId="4" fillId="0" borderId="5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37" fontId="0" fillId="0" borderId="0" xfId="0" applyNumberFormat="1" applyAlignment="1">
      <alignment horizontal="left"/>
    </xf>
    <xf numFmtId="37" fontId="4" fillId="0" borderId="6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0" fontId="12" fillId="0" borderId="0" xfId="2"/>
    <xf numFmtId="0" fontId="12" fillId="0" borderId="0" xfId="2" applyAlignment="1">
      <alignment horizontal="center" vertical="center"/>
    </xf>
    <xf numFmtId="37" fontId="13" fillId="0" borderId="0" xfId="3" applyNumberFormat="1" applyFont="1" applyFill="1" applyBorder="1" applyAlignment="1">
      <alignment horizontal="center" vertical="center" shrinkToFit="1"/>
    </xf>
    <xf numFmtId="37" fontId="15" fillId="0" borderId="0" xfId="4" applyNumberFormat="1" applyFont="1" applyAlignment="1">
      <alignment horizontal="center" vertical="center" wrapText="1"/>
    </xf>
    <xf numFmtId="37" fontId="16" fillId="0" borderId="8" xfId="3" applyNumberFormat="1" applyFont="1" applyFill="1" applyBorder="1" applyAlignment="1">
      <alignment horizontal="center" vertical="center" shrinkToFit="1"/>
    </xf>
    <xf numFmtId="37" fontId="16" fillId="0" borderId="6" xfId="3" applyNumberFormat="1" applyFont="1" applyFill="1" applyBorder="1" applyAlignment="1">
      <alignment horizontal="center" vertical="center" shrinkToFit="1"/>
    </xf>
    <xf numFmtId="0" fontId="14" fillId="0" borderId="0" xfId="4"/>
    <xf numFmtId="49" fontId="15" fillId="0" borderId="9" xfId="4" applyNumberFormat="1" applyFont="1" applyBorder="1" applyAlignment="1">
      <alignment horizontal="center" vertical="center" wrapText="1"/>
    </xf>
    <xf numFmtId="37" fontId="15" fillId="0" borderId="9" xfId="4" applyNumberFormat="1" applyFont="1" applyBorder="1" applyAlignment="1">
      <alignment horizontal="center" vertical="center" wrapText="1"/>
    </xf>
    <xf numFmtId="0" fontId="15" fillId="0" borderId="9" xfId="4" applyFont="1" applyBorder="1" applyAlignment="1">
      <alignment horizontal="center" vertical="center" wrapText="1"/>
    </xf>
    <xf numFmtId="0" fontId="17" fillId="2" borderId="10" xfId="4" applyFont="1" applyFill="1" applyBorder="1" applyAlignment="1">
      <alignment horizontal="center" vertical="center" wrapText="1"/>
    </xf>
    <xf numFmtId="0" fontId="17" fillId="2" borderId="10" xfId="4" applyFont="1" applyFill="1" applyBorder="1" applyAlignment="1">
      <alignment horizontal="center" vertical="center"/>
    </xf>
    <xf numFmtId="0" fontId="17" fillId="2" borderId="11" xfId="4" applyFont="1" applyFill="1" applyBorder="1" applyAlignment="1">
      <alignment horizontal="center" vertical="center"/>
    </xf>
    <xf numFmtId="0" fontId="1" fillId="0" borderId="0" xfId="5" applyFont="1" applyAlignment="1">
      <alignment vertical="center"/>
    </xf>
    <xf numFmtId="3" fontId="0" fillId="0" borderId="0" xfId="0" applyNumberFormat="1" applyAlignment="1">
      <alignment horizontal="center"/>
    </xf>
    <xf numFmtId="166" fontId="0" fillId="0" borderId="0" xfId="6" applyNumberFormat="1" applyFont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3" fontId="4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37" fontId="4" fillId="0" borderId="2" xfId="0" applyNumberFormat="1" applyFont="1" applyBorder="1" applyAlignment="1">
      <alignment horizontal="right" vertical="center"/>
    </xf>
    <xf numFmtId="37" fontId="0" fillId="0" borderId="0" xfId="0" applyNumberFormat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9" fontId="4" fillId="0" borderId="0" xfId="0" applyNumberFormat="1" applyFont="1" applyAlignment="1">
      <alignment horizontal="right" vertical="center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top"/>
    </xf>
    <xf numFmtId="37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167" fontId="0" fillId="0" borderId="0" xfId="0" applyNumberFormat="1" applyAlignment="1">
      <alignment horizontal="center"/>
    </xf>
    <xf numFmtId="3" fontId="4" fillId="0" borderId="5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20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37" fontId="4" fillId="0" borderId="6" xfId="0" applyNumberFormat="1" applyFont="1" applyBorder="1" applyAlignment="1">
      <alignment horizontal="right" vertical="center"/>
    </xf>
    <xf numFmtId="39" fontId="0" fillId="0" borderId="0" xfId="0" applyNumberFormat="1" applyAlignment="1">
      <alignment horizontal="right" vertical="center"/>
    </xf>
    <xf numFmtId="37" fontId="4" fillId="0" borderId="5" xfId="0" applyNumberFormat="1" applyFont="1" applyBorder="1" applyAlignment="1">
      <alignment horizontal="right" vertical="center"/>
    </xf>
    <xf numFmtId="39" fontId="4" fillId="0" borderId="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/>
    </xf>
    <xf numFmtId="39" fontId="4" fillId="0" borderId="0" xfId="0" applyNumberFormat="1" applyFont="1" applyAlignment="1">
      <alignment horizontal="center"/>
    </xf>
    <xf numFmtId="39" fontId="4" fillId="0" borderId="6" xfId="0" applyNumberFormat="1" applyFont="1" applyBorder="1" applyAlignment="1">
      <alignment horizontal="center"/>
    </xf>
    <xf numFmtId="37" fontId="21" fillId="0" borderId="0" xfId="1" applyNumberFormat="1" applyFont="1" applyAlignment="1">
      <alignment horizontal="center" vertical="center"/>
    </xf>
    <xf numFmtId="0" fontId="8" fillId="0" borderId="0" xfId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5" applyFont="1" applyAlignment="1">
      <alignment horizontal="center" vertical="center"/>
    </xf>
    <xf numFmtId="165" fontId="18" fillId="0" borderId="0" xfId="4" applyNumberFormat="1" applyFont="1" applyAlignment="1">
      <alignment horizontal="right" vertical="center"/>
    </xf>
    <xf numFmtId="165" fontId="14" fillId="0" borderId="0" xfId="4" applyNumberFormat="1"/>
  </cellXfs>
  <cellStyles count="7">
    <cellStyle name="Comma" xfId="6" builtinId="3"/>
    <cellStyle name="Comma 2 2 2" xfId="3" xr:uid="{6C44EE83-7629-486C-86DA-4CCB53F970C4}"/>
    <cellStyle name="Normal" xfId="0" builtinId="0"/>
    <cellStyle name="Normal 2" xfId="1" xr:uid="{425A1797-DB7E-4DB8-9B20-63E849E5664B}"/>
    <cellStyle name="Normal 2 2" xfId="4" xr:uid="{785E5991-2F6D-4DF5-9E65-70DBDC5B8E77}"/>
    <cellStyle name="Normal 2 3" xfId="5" xr:uid="{45952946-8717-4D47-B1D3-A73F89DEB58D}"/>
    <cellStyle name="Normal 2 4" xfId="2" xr:uid="{8D8F4484-EE75-49F8-981B-6262E7644C1C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63500</xdr:colOff>
      <xdr:row>0</xdr:row>
      <xdr:rowOff>1</xdr:rowOff>
    </xdr:from>
    <xdr:ext cx="4200525" cy="5194299"/>
    <xdr:pic>
      <xdr:nvPicPr>
        <xdr:cNvPr id="2" name="Picture 1">
          <a:extLst>
            <a:ext uri="{FF2B5EF4-FFF2-40B4-BE49-F238E27FC236}">
              <a16:creationId xmlns:a16="http://schemas.microsoft.com/office/drawing/2014/main" id="{564A2B5C-F29F-4BFA-8255-1F770370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3175" y="1"/>
          <a:ext cx="4200525" cy="5194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7CE48-CCE8-4CDA-8DAB-218A3D508442}">
  <sheetPr>
    <tabColor rgb="FF92D050"/>
    <pageSetUpPr fitToPage="1"/>
  </sheetPr>
  <dimension ref="A1:V36"/>
  <sheetViews>
    <sheetView rightToLeft="1" view="pageBreakPreview" zoomScaleNormal="100" zoomScaleSheetLayoutView="100" workbookViewId="0">
      <selection activeCell="A28" sqref="A28"/>
    </sheetView>
  </sheetViews>
  <sheetFormatPr defaultColWidth="9.140625" defaultRowHeight="18.75"/>
  <cols>
    <col min="1" max="1" width="3.7109375" style="15" customWidth="1"/>
    <col min="2" max="8" width="13.42578125" style="15" customWidth="1"/>
    <col min="9" max="9" width="9.140625" style="15"/>
    <col min="10" max="10" width="12.42578125" style="15" bestFit="1" customWidth="1"/>
    <col min="11" max="16384" width="9.140625" style="15"/>
  </cols>
  <sheetData>
    <row r="1" spans="1:22" s="17" customFormat="1" ht="2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s="17" customFormat="1" ht="22.5"/>
    <row r="3" spans="1:22" s="17" customFormat="1" ht="22.5"/>
    <row r="4" spans="1:22" s="17" customFormat="1" ht="22.5"/>
    <row r="23" spans="1:8" ht="29.45" customHeight="1"/>
    <row r="24" spans="1:8" ht="39" customHeight="1">
      <c r="A24" s="107" t="s">
        <v>166</v>
      </c>
      <c r="B24" s="108"/>
      <c r="C24" s="108"/>
      <c r="D24" s="108"/>
      <c r="E24" s="108"/>
      <c r="F24" s="108"/>
      <c r="G24" s="108"/>
      <c r="H24" s="108"/>
    </row>
    <row r="25" spans="1:8" ht="39" customHeight="1">
      <c r="A25" s="107" t="s">
        <v>118</v>
      </c>
      <c r="B25" s="108"/>
      <c r="C25" s="108"/>
      <c r="D25" s="108"/>
      <c r="E25" s="108"/>
      <c r="F25" s="108"/>
      <c r="G25" s="108"/>
      <c r="H25" s="108"/>
    </row>
    <row r="26" spans="1:8" ht="39" customHeight="1">
      <c r="A26" s="107" t="s">
        <v>117</v>
      </c>
      <c r="B26" s="108"/>
      <c r="C26" s="108"/>
      <c r="D26" s="108"/>
      <c r="E26" s="108"/>
      <c r="F26" s="108"/>
      <c r="G26" s="108"/>
      <c r="H26" s="108"/>
    </row>
    <row r="27" spans="1:8" ht="39" customHeight="1">
      <c r="A27" s="107" t="s">
        <v>185</v>
      </c>
      <c r="B27" s="108"/>
      <c r="C27" s="108"/>
      <c r="D27" s="108"/>
      <c r="E27" s="108"/>
      <c r="F27" s="108"/>
      <c r="G27" s="108"/>
      <c r="H27" s="108"/>
    </row>
    <row r="32" spans="1:8" s="16" customFormat="1" ht="22.5">
      <c r="B32" s="15"/>
      <c r="C32" s="15"/>
      <c r="D32" s="15"/>
      <c r="E32" s="15"/>
      <c r="F32" s="15"/>
      <c r="G32" s="15"/>
      <c r="H32" s="15"/>
    </row>
    <row r="33" spans="1:8" s="16" customFormat="1" ht="22.5">
      <c r="B33" s="15"/>
      <c r="C33" s="15"/>
      <c r="D33" s="15"/>
      <c r="E33" s="15"/>
      <c r="F33" s="15"/>
      <c r="G33" s="15"/>
      <c r="H33" s="15"/>
    </row>
    <row r="36" spans="1:8">
      <c r="A36" s="15" t="s">
        <v>116</v>
      </c>
    </row>
  </sheetData>
  <mergeCells count="4">
    <mergeCell ref="A24:H24"/>
    <mergeCell ref="A25:H25"/>
    <mergeCell ref="A26:H26"/>
    <mergeCell ref="A27:H27"/>
  </mergeCells>
  <pageMargins left="0.7" right="0.7" top="0.75" bottom="0.75" header="0.3" footer="0.3"/>
  <pageSetup paperSize="9" scale="9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B6936-1209-48B8-8C2B-2ACED299F891}">
  <sheetPr>
    <tabColor rgb="FF92D050"/>
  </sheetPr>
  <dimension ref="A1:Q13"/>
  <sheetViews>
    <sheetView rightToLeft="1" view="pageBreakPreview" zoomScaleNormal="100" zoomScaleSheetLayoutView="100" workbookViewId="0">
      <selection activeCell="P13" sqref="P13"/>
    </sheetView>
  </sheetViews>
  <sheetFormatPr defaultRowHeight="15"/>
  <cols>
    <col min="1" max="1" width="17.42578125" style="53" customWidth="1"/>
    <col min="2" max="2" width="9.28515625" style="53" bestFit="1" customWidth="1"/>
    <col min="3" max="3" width="39.28515625" style="53" bestFit="1" customWidth="1"/>
    <col min="4" max="4" width="12.42578125" style="53" bestFit="1" customWidth="1"/>
    <col min="5" max="5" width="17.42578125" style="53" bestFit="1" customWidth="1"/>
    <col min="6" max="6" width="16.5703125" style="53" bestFit="1" customWidth="1"/>
    <col min="7" max="7" width="9.42578125" style="53" bestFit="1" customWidth="1"/>
    <col min="8" max="8" width="15" style="53" customWidth="1"/>
    <col min="9" max="11" width="9.140625" style="53"/>
    <col min="12" max="12" width="15.28515625" style="53" bestFit="1" customWidth="1"/>
    <col min="13" max="13" width="9.140625" style="53"/>
    <col min="14" max="14" width="15.28515625" style="53" bestFit="1" customWidth="1"/>
    <col min="15" max="16384" width="9.140625" style="53"/>
  </cols>
  <sheetData>
    <row r="1" spans="1:17" ht="26.25" customHeight="1">
      <c r="A1" s="123" t="str">
        <f>'درآمد ناشی از تغییر قیمت اوراق'!A1:Q1</f>
        <v>صندوق سرمایه‌گذاری افق دماوند</v>
      </c>
      <c r="B1" s="123"/>
      <c r="C1" s="123"/>
      <c r="D1" s="123"/>
      <c r="E1" s="123"/>
      <c r="F1" s="123"/>
      <c r="G1" s="123"/>
      <c r="H1" s="123"/>
      <c r="I1" s="66"/>
      <c r="J1" s="66"/>
      <c r="K1" s="66"/>
      <c r="L1" s="66"/>
      <c r="M1" s="66"/>
      <c r="N1" s="66"/>
      <c r="O1" s="66"/>
      <c r="P1" s="66"/>
      <c r="Q1" s="66"/>
    </row>
    <row r="2" spans="1:17" ht="26.25" customHeight="1">
      <c r="A2" s="123" t="s">
        <v>57</v>
      </c>
      <c r="B2" s="123"/>
      <c r="C2" s="123"/>
      <c r="D2" s="123"/>
      <c r="E2" s="123"/>
      <c r="F2" s="123"/>
      <c r="G2" s="123"/>
      <c r="H2" s="123"/>
      <c r="I2" s="66"/>
      <c r="J2" s="66"/>
      <c r="K2" s="66"/>
      <c r="L2" s="66"/>
      <c r="M2" s="66"/>
      <c r="N2" s="66"/>
      <c r="O2" s="66"/>
      <c r="P2" s="66"/>
      <c r="Q2" s="66"/>
    </row>
    <row r="3" spans="1:17" ht="25.5">
      <c r="A3" s="123" t="str">
        <f>سهام!A3</f>
        <v>برای ماه منتهی به 1405/04/31</v>
      </c>
      <c r="B3" s="123"/>
      <c r="C3" s="123"/>
      <c r="D3" s="123"/>
      <c r="E3" s="123"/>
      <c r="F3" s="123"/>
      <c r="G3" s="123"/>
      <c r="H3" s="123"/>
      <c r="I3" s="66"/>
      <c r="J3" s="66"/>
      <c r="K3" s="66"/>
      <c r="L3" s="66"/>
      <c r="M3" s="66"/>
      <c r="N3" s="66"/>
      <c r="O3" s="66"/>
      <c r="P3" s="66"/>
      <c r="Q3" s="66"/>
    </row>
    <row r="6" spans="1:17" ht="21">
      <c r="A6" s="124" t="s">
        <v>131</v>
      </c>
      <c r="B6" s="125"/>
      <c r="C6" s="125"/>
      <c r="D6" s="125"/>
      <c r="E6" s="125"/>
      <c r="F6" s="125"/>
      <c r="G6" s="125"/>
      <c r="H6" s="59"/>
    </row>
    <row r="7" spans="1:17" ht="15.75" thickBot="1">
      <c r="A7" s="59"/>
      <c r="B7" s="59"/>
      <c r="C7" s="59"/>
      <c r="D7" s="59"/>
      <c r="E7" s="59"/>
      <c r="F7" s="59"/>
      <c r="G7" s="59"/>
      <c r="H7" s="59"/>
    </row>
    <row r="8" spans="1:17" ht="51.75">
      <c r="A8" s="65" t="s">
        <v>82</v>
      </c>
      <c r="B8" s="64" t="s">
        <v>83</v>
      </c>
      <c r="C8" s="64" t="s">
        <v>84</v>
      </c>
      <c r="D8" s="64" t="s">
        <v>41</v>
      </c>
      <c r="E8" s="64" t="s">
        <v>85</v>
      </c>
      <c r="F8" s="63" t="s">
        <v>81</v>
      </c>
      <c r="G8" s="63" t="s">
        <v>130</v>
      </c>
      <c r="H8" s="63" t="s">
        <v>129</v>
      </c>
    </row>
    <row r="9" spans="1:17" ht="18">
      <c r="A9" s="62" t="s">
        <v>128</v>
      </c>
      <c r="B9" s="62" t="s">
        <v>86</v>
      </c>
      <c r="C9" s="62" t="s">
        <v>132</v>
      </c>
      <c r="D9" s="61">
        <v>606000</v>
      </c>
      <c r="E9" s="61">
        <f>D9*1000000</f>
        <v>606000000000</v>
      </c>
      <c r="F9" s="61">
        <v>4048637599</v>
      </c>
      <c r="G9" s="61">
        <v>23</v>
      </c>
      <c r="H9" s="60" t="s">
        <v>133</v>
      </c>
    </row>
    <row r="10" spans="1:17" ht="18.75" thickBot="1">
      <c r="A10" s="59"/>
      <c r="B10" s="59"/>
      <c r="C10" s="59"/>
      <c r="D10" s="58">
        <f>SUM(D9)</f>
        <v>606000</v>
      </c>
      <c r="E10" s="57">
        <f>SUM(E9)</f>
        <v>606000000000</v>
      </c>
      <c r="F10" s="57">
        <f>SUM(F9)</f>
        <v>4048637599</v>
      </c>
      <c r="G10" s="56"/>
      <c r="H10" s="55"/>
    </row>
    <row r="11" spans="1:17" ht="15.75" thickTop="1"/>
    <row r="13" spans="1:17">
      <c r="G13" s="54"/>
    </row>
  </sheetData>
  <mergeCells count="4">
    <mergeCell ref="A1:H1"/>
    <mergeCell ref="A2:H2"/>
    <mergeCell ref="A3:H3"/>
    <mergeCell ref="A6:G6"/>
  </mergeCells>
  <pageMargins left="0.7" right="0.7" top="0.75" bottom="0.75" header="0.3" footer="0.3"/>
  <pageSetup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I13"/>
  <sheetViews>
    <sheetView rightToLeft="1" view="pageBreakPreview" zoomScaleNormal="100" zoomScaleSheetLayoutView="100" workbookViewId="0">
      <selection activeCell="G11" sqref="G11"/>
    </sheetView>
  </sheetViews>
  <sheetFormatPr defaultRowHeight="12.75"/>
  <cols>
    <col min="1" max="1" width="24.140625" bestFit="1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109" t="str">
        <f>سهام!A1</f>
        <v>صندوق سرمایه‌گذاری افق دماوند</v>
      </c>
      <c r="B1" s="109"/>
      <c r="C1" s="109"/>
      <c r="D1" s="109"/>
      <c r="E1" s="109"/>
      <c r="F1" s="109"/>
      <c r="G1" s="109"/>
      <c r="H1" s="109"/>
      <c r="I1" s="109"/>
    </row>
    <row r="2" spans="1:9" ht="21.75" customHeight="1">
      <c r="A2" s="109" t="s">
        <v>57</v>
      </c>
      <c r="B2" s="109"/>
      <c r="C2" s="109"/>
      <c r="D2" s="109"/>
      <c r="E2" s="109"/>
      <c r="F2" s="109"/>
      <c r="G2" s="109"/>
      <c r="H2" s="109"/>
      <c r="I2" s="109"/>
    </row>
    <row r="3" spans="1:9" ht="21.75" customHeight="1">
      <c r="A3" s="109" t="str">
        <f>سهام!A3</f>
        <v>برای ماه منتهی به 1405/04/31</v>
      </c>
      <c r="B3" s="109"/>
      <c r="C3" s="109"/>
      <c r="D3" s="109"/>
      <c r="E3" s="109"/>
      <c r="F3" s="109"/>
      <c r="G3" s="109"/>
      <c r="H3" s="109"/>
      <c r="I3" s="109"/>
    </row>
    <row r="4" spans="1:9" ht="14.45" customHeight="1"/>
    <row r="5" spans="1:9" ht="14.45" customHeight="1">
      <c r="A5" s="110" t="s">
        <v>126</v>
      </c>
      <c r="B5" s="110"/>
      <c r="C5" s="110"/>
      <c r="D5" s="110"/>
      <c r="E5" s="110"/>
      <c r="F5" s="110"/>
      <c r="G5" s="110"/>
      <c r="H5" s="110"/>
      <c r="I5" s="110"/>
    </row>
    <row r="6" spans="1:9" ht="14.45" customHeight="1">
      <c r="C6" s="111" t="s">
        <v>72</v>
      </c>
      <c r="D6" s="111"/>
      <c r="E6" s="111"/>
      <c r="G6" s="111" t="s">
        <v>73</v>
      </c>
      <c r="H6" s="111"/>
      <c r="I6" s="111"/>
    </row>
    <row r="7" spans="1:9" ht="36.4" customHeight="1">
      <c r="A7" s="21" t="s">
        <v>87</v>
      </c>
      <c r="C7" s="8" t="s">
        <v>88</v>
      </c>
      <c r="D7" s="3"/>
      <c r="E7" s="8" t="s">
        <v>89</v>
      </c>
      <c r="G7" s="8" t="s">
        <v>88</v>
      </c>
      <c r="H7" s="3"/>
      <c r="I7" s="8" t="s">
        <v>89</v>
      </c>
    </row>
    <row r="8" spans="1:9" ht="21.75" customHeight="1">
      <c r="A8" s="13" t="s">
        <v>123</v>
      </c>
      <c r="C8" s="34">
        <f>'سود سپرده بانکی'!C8</f>
        <v>0</v>
      </c>
      <c r="D8" s="31"/>
      <c r="E8" s="36">
        <f>C8/$C$11*100</f>
        <v>0</v>
      </c>
      <c r="F8" s="31"/>
      <c r="G8" s="34">
        <f>'سود سپرده بانکی'!I8</f>
        <v>245778</v>
      </c>
      <c r="H8" s="31"/>
      <c r="I8" s="36">
        <f>G8/$G$11*100</f>
        <v>17.579064592752172</v>
      </c>
    </row>
    <row r="9" spans="1:9" ht="21.75" customHeight="1">
      <c r="A9" s="12" t="s">
        <v>121</v>
      </c>
      <c r="C9" s="37">
        <f>'سود سپرده بانکی'!C9</f>
        <v>88533</v>
      </c>
      <c r="D9" s="31"/>
      <c r="E9" s="36">
        <f>C9/$C$11*100</f>
        <v>100</v>
      </c>
      <c r="F9" s="31"/>
      <c r="G9" s="37">
        <f>'سود سپرده بانکی'!I9</f>
        <v>1150306</v>
      </c>
      <c r="H9" s="31"/>
      <c r="I9" s="36">
        <f t="shared" ref="I9:I10" si="0">G9/$G$11*100</f>
        <v>82.274668503407057</v>
      </c>
    </row>
    <row r="10" spans="1:9" ht="21.75" customHeight="1">
      <c r="A10" s="12" t="s">
        <v>122</v>
      </c>
      <c r="C10" s="38">
        <f>'سود سپرده بانکی'!C10</f>
        <v>0</v>
      </c>
      <c r="D10" s="31"/>
      <c r="E10" s="36">
        <f>C10/$C$11*100</f>
        <v>0</v>
      </c>
      <c r="F10" s="31"/>
      <c r="G10" s="38">
        <f>'سود سپرده بانکی'!I10</f>
        <v>2045</v>
      </c>
      <c r="H10" s="31"/>
      <c r="I10" s="36">
        <f t="shared" si="0"/>
        <v>0.14626690384077579</v>
      </c>
    </row>
    <row r="11" spans="1:9" ht="21.75" customHeight="1" thickBot="1">
      <c r="A11" s="22"/>
      <c r="C11" s="39">
        <f>SUM(C8:C10)</f>
        <v>88533</v>
      </c>
      <c r="D11" s="31"/>
      <c r="E11" s="39">
        <f>SUM(E8:E10)</f>
        <v>100</v>
      </c>
      <c r="F11" s="31"/>
      <c r="G11" s="39">
        <f>SUM(G8:G10)</f>
        <v>1398129</v>
      </c>
      <c r="H11" s="31"/>
      <c r="I11" s="39">
        <f>SUM(I8:I10)</f>
        <v>100.00000000000001</v>
      </c>
    </row>
    <row r="12" spans="1:9" ht="13.5" thickTop="1">
      <c r="C12" s="40"/>
      <c r="G12" s="40"/>
    </row>
    <row r="13" spans="1:9">
      <c r="C13" s="40"/>
      <c r="G13" s="40"/>
    </row>
  </sheetData>
  <mergeCells count="6">
    <mergeCell ref="A5:I5"/>
    <mergeCell ref="C6:E6"/>
    <mergeCell ref="G6:I6"/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H15"/>
  <sheetViews>
    <sheetView rightToLeft="1" view="pageBreakPreview" zoomScale="130" zoomScaleNormal="100" zoomScaleSheetLayoutView="130" workbookViewId="0">
      <selection activeCell="N25" sqref="N25"/>
    </sheetView>
  </sheetViews>
  <sheetFormatPr defaultRowHeight="12.75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8" ht="29.1" customHeight="1">
      <c r="A1" s="109" t="str">
        <f>سهام!A1</f>
        <v>صندوق سرمایه‌گذاری افق دماوند</v>
      </c>
      <c r="B1" s="109"/>
      <c r="C1" s="109"/>
      <c r="D1" s="109"/>
      <c r="E1" s="109"/>
    </row>
    <row r="2" spans="1:8" ht="21.75" customHeight="1">
      <c r="A2" s="109" t="s">
        <v>57</v>
      </c>
      <c r="B2" s="109"/>
      <c r="C2" s="109"/>
      <c r="D2" s="109"/>
      <c r="E2" s="109"/>
    </row>
    <row r="3" spans="1:8" ht="21.75" customHeight="1">
      <c r="A3" s="109" t="str">
        <f>سهام!A3</f>
        <v>برای ماه منتهی به 1405/04/31</v>
      </c>
      <c r="B3" s="109"/>
      <c r="C3" s="109"/>
      <c r="D3" s="109"/>
      <c r="E3" s="109"/>
    </row>
    <row r="4" spans="1:8" ht="14.45" customHeight="1"/>
    <row r="5" spans="1:8" ht="29.1" customHeight="1">
      <c r="A5" s="110" t="s">
        <v>127</v>
      </c>
      <c r="B5" s="110"/>
      <c r="C5" s="110"/>
      <c r="D5" s="110"/>
      <c r="E5" s="110"/>
    </row>
    <row r="6" spans="1:8" ht="14.45" customHeight="1">
      <c r="C6" s="2" t="s">
        <v>72</v>
      </c>
      <c r="E6" s="2" t="s">
        <v>169</v>
      </c>
    </row>
    <row r="7" spans="1:8" ht="14.45" customHeight="1">
      <c r="A7" s="21" t="s">
        <v>71</v>
      </c>
      <c r="C7" s="4" t="s">
        <v>54</v>
      </c>
      <c r="E7" s="4" t="s">
        <v>54</v>
      </c>
    </row>
    <row r="8" spans="1:8" ht="21.75" customHeight="1">
      <c r="A8" s="28" t="s">
        <v>71</v>
      </c>
      <c r="B8" s="31"/>
      <c r="C8" s="37">
        <v>3509935</v>
      </c>
      <c r="D8" s="31"/>
      <c r="E8" s="37">
        <v>151318019</v>
      </c>
    </row>
    <row r="9" spans="1:8" ht="21.75" customHeight="1">
      <c r="A9" s="29" t="s">
        <v>90</v>
      </c>
      <c r="B9" s="31"/>
      <c r="C9" s="37">
        <v>142104571</v>
      </c>
      <c r="D9" s="31"/>
      <c r="E9" s="37">
        <v>747645074</v>
      </c>
    </row>
    <row r="10" spans="1:8" ht="21.75" customHeight="1" thickBot="1">
      <c r="A10" s="22"/>
      <c r="B10" s="31"/>
      <c r="C10" s="71">
        <f>SUM(C8:C9)</f>
        <v>145614506</v>
      </c>
      <c r="D10" s="31"/>
      <c r="E10" s="71">
        <f>SUM(E8:E9)</f>
        <v>898963093</v>
      </c>
    </row>
    <row r="11" spans="1:8" ht="13.5" thickTop="1">
      <c r="C11" s="40"/>
    </row>
    <row r="12" spans="1:8">
      <c r="C12" s="40"/>
      <c r="E12" s="40"/>
    </row>
    <row r="13" spans="1:8">
      <c r="C13" s="40"/>
    </row>
    <row r="15" spans="1:8">
      <c r="H15" t="s">
        <v>134</v>
      </c>
    </row>
  </sheetData>
  <mergeCells count="4">
    <mergeCell ref="A5:E5"/>
    <mergeCell ref="A1:E1"/>
    <mergeCell ref="A2:E2"/>
    <mergeCell ref="A3:E3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31"/>
  <sheetViews>
    <sheetView rightToLeft="1" view="pageBreakPreview" topLeftCell="A16" zoomScale="112" zoomScaleNormal="100" zoomScaleSheetLayoutView="112" workbookViewId="0">
      <selection activeCell="S30" sqref="G30:S38"/>
    </sheetView>
  </sheetViews>
  <sheetFormatPr defaultRowHeight="12.75"/>
  <cols>
    <col min="1" max="1" width="27.42578125" bestFit="1" customWidth="1"/>
    <col min="2" max="2" width="1.28515625" customWidth="1"/>
    <col min="3" max="3" width="17.140625" bestFit="1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4.57031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57031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>
      <c r="A1" s="109" t="str">
        <f>سهام!A1</f>
        <v>صندوق سرمایه‌گذاری افق دماوند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ht="25.5">
      <c r="A2" s="109" t="s">
        <v>57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ht="25.5">
      <c r="A3" s="109" t="str">
        <f>سهام!A3</f>
        <v>برای ماه منتهی به 1405/04/31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5" spans="1:19" ht="24">
      <c r="A5" s="113" t="s">
        <v>75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</row>
    <row r="6" spans="1:19" ht="21">
      <c r="A6" s="111" t="s">
        <v>37</v>
      </c>
      <c r="C6" s="111" t="s">
        <v>91</v>
      </c>
      <c r="D6" s="111"/>
      <c r="E6" s="111"/>
      <c r="F6" s="111"/>
      <c r="G6" s="111"/>
      <c r="I6" s="111" t="s">
        <v>72</v>
      </c>
      <c r="J6" s="111"/>
      <c r="K6" s="111"/>
      <c r="L6" s="111"/>
      <c r="M6" s="111"/>
      <c r="O6" s="111" t="s">
        <v>73</v>
      </c>
      <c r="P6" s="111"/>
      <c r="Q6" s="111"/>
      <c r="R6" s="111"/>
      <c r="S6" s="111"/>
    </row>
    <row r="7" spans="1:19" ht="21">
      <c r="A7" s="111"/>
      <c r="C7" s="8" t="s">
        <v>92</v>
      </c>
      <c r="D7" s="3"/>
      <c r="E7" s="8" t="s">
        <v>93</v>
      </c>
      <c r="F7" s="3"/>
      <c r="G7" s="8" t="s">
        <v>94</v>
      </c>
      <c r="I7" s="8" t="s">
        <v>95</v>
      </c>
      <c r="J7" s="3"/>
      <c r="K7" s="8" t="s">
        <v>96</v>
      </c>
      <c r="L7" s="3"/>
      <c r="M7" s="8" t="s">
        <v>97</v>
      </c>
      <c r="O7" s="8" t="s">
        <v>95</v>
      </c>
      <c r="P7" s="3"/>
      <c r="Q7" s="8" t="s">
        <v>96</v>
      </c>
      <c r="R7" s="3"/>
      <c r="S7" s="8" t="s">
        <v>97</v>
      </c>
    </row>
    <row r="8" spans="1:19" ht="18.75">
      <c r="A8" s="35" t="s">
        <v>17</v>
      </c>
      <c r="B8" s="31"/>
      <c r="C8" s="35" t="s">
        <v>195</v>
      </c>
      <c r="D8" s="31"/>
      <c r="E8" s="37">
        <v>1019446</v>
      </c>
      <c r="F8" s="31"/>
      <c r="G8" s="37">
        <v>6928</v>
      </c>
      <c r="H8" s="9"/>
      <c r="I8" s="43">
        <v>0</v>
      </c>
      <c r="J8" s="23"/>
      <c r="K8" s="43">
        <v>0</v>
      </c>
      <c r="L8" s="23"/>
      <c r="M8" s="43">
        <f>I8-K8</f>
        <v>0</v>
      </c>
      <c r="N8" s="23"/>
      <c r="O8" s="50">
        <v>7062721888</v>
      </c>
      <c r="P8" s="23"/>
      <c r="Q8" s="43">
        <v>340704967</v>
      </c>
      <c r="R8" s="23"/>
      <c r="S8" s="43">
        <f>O8-Q8</f>
        <v>6722016921</v>
      </c>
    </row>
    <row r="9" spans="1:19" ht="18.75">
      <c r="A9" s="35" t="s">
        <v>22</v>
      </c>
      <c r="B9" s="31"/>
      <c r="C9" s="35" t="s">
        <v>196</v>
      </c>
      <c r="D9" s="31"/>
      <c r="E9" s="37">
        <v>375619</v>
      </c>
      <c r="F9" s="31"/>
      <c r="G9" s="37">
        <v>850</v>
      </c>
      <c r="H9" s="9"/>
      <c r="I9" s="43">
        <v>0</v>
      </c>
      <c r="J9" s="23"/>
      <c r="K9" s="43">
        <v>0</v>
      </c>
      <c r="L9" s="23"/>
      <c r="M9" s="43">
        <f t="shared" ref="M9:M26" si="0">I9-K9</f>
        <v>0</v>
      </c>
      <c r="N9" s="23"/>
      <c r="O9" s="50">
        <v>319276150</v>
      </c>
      <c r="P9" s="23"/>
      <c r="Q9" s="43">
        <v>16192158</v>
      </c>
      <c r="R9" s="23"/>
      <c r="S9" s="43">
        <f t="shared" ref="S9:S26" si="1">O9-Q9</f>
        <v>303083992</v>
      </c>
    </row>
    <row r="10" spans="1:19" ht="18.75">
      <c r="A10" s="35" t="s">
        <v>173</v>
      </c>
      <c r="B10" s="31"/>
      <c r="C10" s="35" t="s">
        <v>197</v>
      </c>
      <c r="D10" s="31"/>
      <c r="E10" s="37">
        <v>829410</v>
      </c>
      <c r="F10" s="31"/>
      <c r="G10" s="37">
        <v>740</v>
      </c>
      <c r="H10" s="9"/>
      <c r="I10" s="43">
        <v>613763400</v>
      </c>
      <c r="J10" s="23"/>
      <c r="K10" s="43">
        <v>19141924</v>
      </c>
      <c r="L10" s="23"/>
      <c r="M10" s="43">
        <f t="shared" si="0"/>
        <v>594621476</v>
      </c>
      <c r="N10" s="23"/>
      <c r="O10" s="50">
        <v>613763400</v>
      </c>
      <c r="P10" s="23"/>
      <c r="Q10" s="43">
        <v>19141924</v>
      </c>
      <c r="R10" s="23"/>
      <c r="S10" s="43">
        <f t="shared" si="1"/>
        <v>594621476</v>
      </c>
    </row>
    <row r="11" spans="1:19" ht="18.75">
      <c r="A11" s="35" t="s">
        <v>16</v>
      </c>
      <c r="B11" s="31"/>
      <c r="C11" s="35" t="s">
        <v>198</v>
      </c>
      <c r="D11" s="31"/>
      <c r="E11" s="37">
        <v>138131</v>
      </c>
      <c r="F11" s="31"/>
      <c r="G11" s="37">
        <v>7500</v>
      </c>
      <c r="H11" s="9"/>
      <c r="I11" s="43">
        <v>0</v>
      </c>
      <c r="J11" s="23"/>
      <c r="K11" s="43">
        <v>0</v>
      </c>
      <c r="L11" s="23"/>
      <c r="M11" s="43">
        <f t="shared" si="0"/>
        <v>0</v>
      </c>
      <c r="N11" s="23"/>
      <c r="O11" s="50">
        <v>1035982500</v>
      </c>
      <c r="P11" s="23"/>
      <c r="Q11" s="43">
        <v>0</v>
      </c>
      <c r="R11" s="23"/>
      <c r="S11" s="43">
        <f t="shared" si="1"/>
        <v>1035982500</v>
      </c>
    </row>
    <row r="12" spans="1:19" ht="18.75">
      <c r="A12" s="35" t="s">
        <v>150</v>
      </c>
      <c r="B12" s="31"/>
      <c r="C12" s="35" t="s">
        <v>199</v>
      </c>
      <c r="D12" s="31"/>
      <c r="E12" s="37">
        <v>3373729</v>
      </c>
      <c r="F12" s="31"/>
      <c r="G12" s="37">
        <v>1100</v>
      </c>
      <c r="H12" s="9"/>
      <c r="I12" s="43">
        <v>3711101900</v>
      </c>
      <c r="J12" s="23"/>
      <c r="K12" s="43">
        <v>113353710</v>
      </c>
      <c r="L12" s="23"/>
      <c r="M12" s="43">
        <f t="shared" si="0"/>
        <v>3597748190</v>
      </c>
      <c r="N12" s="23"/>
      <c r="O12" s="50">
        <v>3711101900</v>
      </c>
      <c r="P12" s="23"/>
      <c r="Q12" s="43">
        <v>113353710</v>
      </c>
      <c r="R12" s="23"/>
      <c r="S12" s="43">
        <f t="shared" si="1"/>
        <v>3597748190</v>
      </c>
    </row>
    <row r="13" spans="1:19" ht="18.75">
      <c r="A13" s="35" t="s">
        <v>34</v>
      </c>
      <c r="B13" s="31"/>
      <c r="C13" s="35" t="s">
        <v>200</v>
      </c>
      <c r="D13" s="31"/>
      <c r="E13" s="37">
        <v>1761676</v>
      </c>
      <c r="F13" s="31"/>
      <c r="G13" s="37">
        <v>1565</v>
      </c>
      <c r="H13" s="9"/>
      <c r="I13" s="43">
        <v>2757022940</v>
      </c>
      <c r="J13" s="23"/>
      <c r="K13" s="43">
        <v>196429115</v>
      </c>
      <c r="L13" s="23"/>
      <c r="M13" s="43">
        <f t="shared" si="0"/>
        <v>2560593825</v>
      </c>
      <c r="N13" s="23"/>
      <c r="O13" s="50">
        <v>2757022940</v>
      </c>
      <c r="P13" s="23"/>
      <c r="Q13" s="43">
        <v>196429115</v>
      </c>
      <c r="R13" s="23"/>
      <c r="S13" s="43">
        <f t="shared" si="1"/>
        <v>2560593825</v>
      </c>
    </row>
    <row r="14" spans="1:19" ht="18.75">
      <c r="A14" s="35" t="s">
        <v>31</v>
      </c>
      <c r="B14" s="31"/>
      <c r="C14" s="35" t="s">
        <v>198</v>
      </c>
      <c r="D14" s="31"/>
      <c r="E14" s="37">
        <v>1200000</v>
      </c>
      <c r="F14" s="31"/>
      <c r="G14" s="37">
        <v>1910</v>
      </c>
      <c r="H14" s="9"/>
      <c r="I14" s="43">
        <v>0</v>
      </c>
      <c r="J14" s="23"/>
      <c r="K14" s="43">
        <v>0</v>
      </c>
      <c r="L14" s="23"/>
      <c r="M14" s="43">
        <f t="shared" si="0"/>
        <v>0</v>
      </c>
      <c r="N14" s="23"/>
      <c r="O14" s="50">
        <v>2292000000</v>
      </c>
      <c r="P14" s="23"/>
      <c r="Q14" s="43">
        <v>124694301</v>
      </c>
      <c r="R14" s="23"/>
      <c r="S14" s="43">
        <f t="shared" si="1"/>
        <v>2167305699</v>
      </c>
    </row>
    <row r="15" spans="1:19" ht="18.75">
      <c r="A15" s="35" t="s">
        <v>19</v>
      </c>
      <c r="B15" s="31"/>
      <c r="C15" s="35" t="s">
        <v>201</v>
      </c>
      <c r="D15" s="31"/>
      <c r="E15" s="37">
        <v>6054099</v>
      </c>
      <c r="F15" s="31"/>
      <c r="G15" s="37">
        <v>1600</v>
      </c>
      <c r="H15" s="9"/>
      <c r="I15" s="43">
        <v>9686558400</v>
      </c>
      <c r="J15" s="23"/>
      <c r="K15" s="43">
        <v>0</v>
      </c>
      <c r="L15" s="23"/>
      <c r="M15" s="43">
        <f t="shared" si="0"/>
        <v>9686558400</v>
      </c>
      <c r="N15" s="23"/>
      <c r="O15" s="50">
        <v>9686558400</v>
      </c>
      <c r="P15" s="23"/>
      <c r="Q15" s="43">
        <v>0</v>
      </c>
      <c r="R15" s="23"/>
      <c r="S15" s="43">
        <f t="shared" si="1"/>
        <v>9686558400</v>
      </c>
    </row>
    <row r="16" spans="1:19" ht="18.75">
      <c r="A16" s="35" t="s">
        <v>21</v>
      </c>
      <c r="B16" s="31"/>
      <c r="C16" s="35" t="s">
        <v>202</v>
      </c>
      <c r="D16" s="31"/>
      <c r="E16" s="37">
        <v>2318545</v>
      </c>
      <c r="F16" s="31"/>
      <c r="G16" s="37">
        <v>1000</v>
      </c>
      <c r="H16" s="9"/>
      <c r="I16" s="43">
        <v>0</v>
      </c>
      <c r="J16" s="23"/>
      <c r="K16" s="43">
        <v>0</v>
      </c>
      <c r="L16" s="23"/>
      <c r="M16" s="43">
        <f t="shared" si="0"/>
        <v>0</v>
      </c>
      <c r="N16" s="23"/>
      <c r="O16" s="50">
        <v>2318545000</v>
      </c>
      <c r="P16" s="23"/>
      <c r="Q16" s="43">
        <v>94447957</v>
      </c>
      <c r="R16" s="23"/>
      <c r="S16" s="43">
        <f t="shared" si="1"/>
        <v>2224097043</v>
      </c>
    </row>
    <row r="17" spans="1:19" ht="18.75">
      <c r="A17" s="35" t="s">
        <v>27</v>
      </c>
      <c r="B17" s="31"/>
      <c r="C17" s="35" t="s">
        <v>169</v>
      </c>
      <c r="D17" s="31"/>
      <c r="E17" s="37">
        <v>36955535</v>
      </c>
      <c r="F17" s="31"/>
      <c r="G17" s="37">
        <v>253</v>
      </c>
      <c r="H17" s="9"/>
      <c r="I17" s="43">
        <v>9349750355</v>
      </c>
      <c r="J17" s="23"/>
      <c r="K17" s="43">
        <v>542888730</v>
      </c>
      <c r="L17" s="23"/>
      <c r="M17" s="43">
        <f t="shared" si="0"/>
        <v>8806861625</v>
      </c>
      <c r="N17" s="23"/>
      <c r="O17" s="50">
        <v>9349750355</v>
      </c>
      <c r="P17" s="23"/>
      <c r="Q17" s="43">
        <v>542888730</v>
      </c>
      <c r="R17" s="23"/>
      <c r="S17" s="43">
        <f t="shared" si="1"/>
        <v>8806861625</v>
      </c>
    </row>
    <row r="18" spans="1:19" ht="18.75">
      <c r="A18" s="35" t="s">
        <v>30</v>
      </c>
      <c r="B18" s="31"/>
      <c r="C18" s="35" t="s">
        <v>162</v>
      </c>
      <c r="D18" s="31"/>
      <c r="E18" s="37">
        <v>392907</v>
      </c>
      <c r="F18" s="31"/>
      <c r="G18" s="37">
        <v>650</v>
      </c>
      <c r="H18" s="9"/>
      <c r="I18" s="43">
        <v>0</v>
      </c>
      <c r="J18" s="23"/>
      <c r="K18" s="43">
        <v>0</v>
      </c>
      <c r="L18" s="23"/>
      <c r="M18" s="43">
        <f t="shared" si="0"/>
        <v>0</v>
      </c>
      <c r="N18" s="23"/>
      <c r="O18" s="50">
        <v>255389550</v>
      </c>
      <c r="P18" s="23"/>
      <c r="Q18" s="43">
        <v>4299487</v>
      </c>
      <c r="R18" s="23"/>
      <c r="S18" s="43">
        <f t="shared" si="1"/>
        <v>251090063</v>
      </c>
    </row>
    <row r="19" spans="1:19" ht="18.75">
      <c r="A19" s="35" t="s">
        <v>11</v>
      </c>
      <c r="B19" s="31"/>
      <c r="C19" s="35" t="s">
        <v>203</v>
      </c>
      <c r="D19" s="31"/>
      <c r="E19" s="37">
        <v>18460361</v>
      </c>
      <c r="F19" s="31"/>
      <c r="G19" s="37">
        <v>440</v>
      </c>
      <c r="H19" s="9"/>
      <c r="I19" s="43">
        <v>8122558840</v>
      </c>
      <c r="J19" s="23"/>
      <c r="K19" s="43">
        <v>27722044</v>
      </c>
      <c r="L19" s="23"/>
      <c r="M19" s="43">
        <f t="shared" si="0"/>
        <v>8094836796</v>
      </c>
      <c r="N19" s="23"/>
      <c r="O19" s="50">
        <v>8122558840</v>
      </c>
      <c r="P19" s="23"/>
      <c r="Q19" s="43">
        <v>27722044</v>
      </c>
      <c r="R19" s="23"/>
      <c r="S19" s="43">
        <f t="shared" si="1"/>
        <v>8094836796</v>
      </c>
    </row>
    <row r="20" spans="1:19" ht="18.75">
      <c r="A20" s="35" t="s">
        <v>148</v>
      </c>
      <c r="B20" s="31"/>
      <c r="C20" s="35" t="s">
        <v>163</v>
      </c>
      <c r="D20" s="31"/>
      <c r="E20" s="37">
        <v>170686</v>
      </c>
      <c r="F20" s="31"/>
      <c r="G20" s="37">
        <v>33000</v>
      </c>
      <c r="H20" s="9"/>
      <c r="I20" s="43">
        <v>0</v>
      </c>
      <c r="J20" s="23"/>
      <c r="K20" s="43">
        <v>0</v>
      </c>
      <c r="L20" s="23"/>
      <c r="M20" s="43">
        <f t="shared" si="0"/>
        <v>0</v>
      </c>
      <c r="N20" s="23"/>
      <c r="O20" s="50">
        <v>5632638000</v>
      </c>
      <c r="P20" s="23"/>
      <c r="Q20" s="43">
        <v>0</v>
      </c>
      <c r="R20" s="23"/>
      <c r="S20" s="43">
        <f t="shared" si="1"/>
        <v>5632638000</v>
      </c>
    </row>
    <row r="21" spans="1:19" ht="18.75">
      <c r="A21" s="35" t="s">
        <v>35</v>
      </c>
      <c r="B21" s="31"/>
      <c r="C21" s="35" t="s">
        <v>191</v>
      </c>
      <c r="D21" s="31"/>
      <c r="E21" s="37">
        <v>9346670</v>
      </c>
      <c r="F21" s="31"/>
      <c r="G21" s="37">
        <v>1087</v>
      </c>
      <c r="H21" s="9"/>
      <c r="I21" s="43">
        <v>10159830290</v>
      </c>
      <c r="J21" s="23"/>
      <c r="K21" s="43">
        <v>705813577</v>
      </c>
      <c r="L21" s="23"/>
      <c r="M21" s="43">
        <f t="shared" si="0"/>
        <v>9454016713</v>
      </c>
      <c r="N21" s="23"/>
      <c r="O21" s="50">
        <v>10159830290</v>
      </c>
      <c r="P21" s="23"/>
      <c r="Q21" s="43">
        <v>705813577</v>
      </c>
      <c r="R21" s="23"/>
      <c r="S21" s="43">
        <f t="shared" si="1"/>
        <v>9454016713</v>
      </c>
    </row>
    <row r="22" spans="1:19" ht="18.75">
      <c r="A22" s="35" t="s">
        <v>13</v>
      </c>
      <c r="B22" s="31"/>
      <c r="C22" s="35" t="s">
        <v>201</v>
      </c>
      <c r="D22" s="31"/>
      <c r="E22" s="37">
        <v>4041021</v>
      </c>
      <c r="F22" s="31"/>
      <c r="G22" s="37">
        <v>1100</v>
      </c>
      <c r="H22" s="9"/>
      <c r="I22" s="43">
        <v>4445123100</v>
      </c>
      <c r="J22" s="23"/>
      <c r="K22" s="43">
        <v>132910657</v>
      </c>
      <c r="L22" s="23"/>
      <c r="M22" s="43">
        <f t="shared" si="0"/>
        <v>4312212443</v>
      </c>
      <c r="N22" s="23"/>
      <c r="O22" s="50">
        <v>4445123100</v>
      </c>
      <c r="P22" s="23"/>
      <c r="Q22" s="43">
        <v>132910657</v>
      </c>
      <c r="R22" s="23"/>
      <c r="S22" s="43">
        <f t="shared" si="1"/>
        <v>4312212443</v>
      </c>
    </row>
    <row r="23" spans="1:19" ht="18.75">
      <c r="A23" s="35" t="s">
        <v>18</v>
      </c>
      <c r="B23" s="31"/>
      <c r="C23" s="35" t="s">
        <v>164</v>
      </c>
      <c r="D23" s="31"/>
      <c r="E23" s="37">
        <v>1809644</v>
      </c>
      <c r="F23" s="31"/>
      <c r="G23" s="37">
        <v>5000</v>
      </c>
      <c r="H23" s="9"/>
      <c r="I23" s="43">
        <v>0</v>
      </c>
      <c r="J23" s="23"/>
      <c r="K23" s="43">
        <v>0</v>
      </c>
      <c r="L23" s="23"/>
      <c r="M23" s="43">
        <f t="shared" si="0"/>
        <v>0</v>
      </c>
      <c r="N23" s="23"/>
      <c r="O23" s="50">
        <v>9048220000</v>
      </c>
      <c r="P23" s="23"/>
      <c r="Q23" s="43">
        <v>0</v>
      </c>
      <c r="R23" s="23"/>
      <c r="S23" s="43">
        <f t="shared" si="1"/>
        <v>9048220000</v>
      </c>
    </row>
    <row r="24" spans="1:19" ht="18.75">
      <c r="A24" s="35" t="s">
        <v>26</v>
      </c>
      <c r="B24" s="31"/>
      <c r="C24" s="35" t="s">
        <v>197</v>
      </c>
      <c r="D24" s="31"/>
      <c r="E24" s="37">
        <v>19612437</v>
      </c>
      <c r="F24" s="31"/>
      <c r="G24" s="37">
        <v>800</v>
      </c>
      <c r="H24" s="9"/>
      <c r="I24" s="43">
        <v>15689949600</v>
      </c>
      <c r="J24" s="23"/>
      <c r="K24" s="43">
        <v>1209970829</v>
      </c>
      <c r="L24" s="23"/>
      <c r="M24" s="43">
        <f t="shared" si="0"/>
        <v>14479978771</v>
      </c>
      <c r="N24" s="23"/>
      <c r="O24" s="50">
        <v>15689949600</v>
      </c>
      <c r="P24" s="23"/>
      <c r="Q24" s="43">
        <v>1209970829</v>
      </c>
      <c r="R24" s="23"/>
      <c r="S24" s="43">
        <f t="shared" si="1"/>
        <v>14479978771</v>
      </c>
    </row>
    <row r="25" spans="1:19" ht="18.75">
      <c r="A25" s="35" t="s">
        <v>20</v>
      </c>
      <c r="B25" s="31"/>
      <c r="C25" s="35" t="s">
        <v>204</v>
      </c>
      <c r="D25" s="31"/>
      <c r="E25" s="37">
        <v>1600000</v>
      </c>
      <c r="F25" s="31"/>
      <c r="G25" s="37">
        <v>240</v>
      </c>
      <c r="H25" s="9"/>
      <c r="I25" s="43">
        <v>0</v>
      </c>
      <c r="J25" s="23"/>
      <c r="K25" s="43">
        <v>0</v>
      </c>
      <c r="L25" s="23"/>
      <c r="M25" s="43">
        <f t="shared" si="0"/>
        <v>0</v>
      </c>
      <c r="N25" s="23"/>
      <c r="O25" s="50">
        <v>384000000</v>
      </c>
      <c r="P25" s="23"/>
      <c r="Q25" s="43">
        <v>16848723</v>
      </c>
      <c r="R25" s="23"/>
      <c r="S25" s="43">
        <f t="shared" si="1"/>
        <v>367151277</v>
      </c>
    </row>
    <row r="26" spans="1:19" ht="18.75">
      <c r="A26" s="35" t="s">
        <v>180</v>
      </c>
      <c r="B26" s="31"/>
      <c r="C26" s="35" t="s">
        <v>205</v>
      </c>
      <c r="D26" s="31"/>
      <c r="E26" s="37">
        <v>219000</v>
      </c>
      <c r="F26" s="31"/>
      <c r="G26" s="37">
        <v>1177</v>
      </c>
      <c r="H26" s="9"/>
      <c r="I26" s="43">
        <v>257763000</v>
      </c>
      <c r="J26" s="23"/>
      <c r="K26" s="43">
        <v>0</v>
      </c>
      <c r="L26" s="23"/>
      <c r="M26" s="43">
        <f t="shared" si="0"/>
        <v>257763000</v>
      </c>
      <c r="N26" s="23"/>
      <c r="O26" s="50">
        <v>257763000</v>
      </c>
      <c r="P26" s="23"/>
      <c r="Q26" s="43">
        <v>0</v>
      </c>
      <c r="R26" s="23"/>
      <c r="S26" s="43">
        <f t="shared" si="1"/>
        <v>257763000</v>
      </c>
    </row>
    <row r="27" spans="1:19" ht="21.75" thickBot="1">
      <c r="A27" s="22"/>
      <c r="B27" s="31"/>
      <c r="C27" s="37"/>
      <c r="D27" s="31"/>
      <c r="E27" s="37"/>
      <c r="F27" s="31"/>
      <c r="G27" s="37"/>
      <c r="H27" s="9"/>
      <c r="I27" s="44">
        <f>SUM(I8:I26)</f>
        <v>64793421825</v>
      </c>
      <c r="J27" s="45"/>
      <c r="K27" s="44">
        <f>SUM(K8:K26)</f>
        <v>2948230586</v>
      </c>
      <c r="L27" s="45"/>
      <c r="M27" s="44">
        <f>SUM(M8:M26)</f>
        <v>61845191239</v>
      </c>
      <c r="N27" s="45"/>
      <c r="O27" s="44">
        <f>SUM(O8:O26)</f>
        <v>93142194913</v>
      </c>
      <c r="P27" s="45"/>
      <c r="Q27" s="44">
        <f>SUM(Q8:Q26)</f>
        <v>3545418179</v>
      </c>
      <c r="R27" s="45"/>
      <c r="S27" s="44">
        <f>SUM(S8:S26)</f>
        <v>89596776734</v>
      </c>
    </row>
    <row r="28" spans="1:19" ht="13.5" thickTop="1">
      <c r="I28" s="47"/>
      <c r="O28" s="47"/>
    </row>
    <row r="30" spans="1:19">
      <c r="I30" s="40"/>
      <c r="M30" s="40"/>
      <c r="O30" s="40"/>
      <c r="Q30" s="40"/>
      <c r="S30" s="40"/>
    </row>
    <row r="31" spans="1:19">
      <c r="I31" s="47"/>
      <c r="M31" s="47"/>
      <c r="O31" s="47"/>
      <c r="S31" s="4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10"/>
  <sheetViews>
    <sheetView rightToLeft="1" view="pageBreakPreview" topLeftCell="A4" zoomScale="106" zoomScaleNormal="100" zoomScaleSheetLayoutView="106" workbookViewId="0">
      <selection activeCell="M8" sqref="M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109" t="str">
        <f>سهام!A1</f>
        <v>صندوق سرمایه‌گذاری افق دماوند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7" ht="21.75" customHeight="1">
      <c r="A2" s="109" t="s">
        <v>57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ht="21.75" customHeight="1">
      <c r="A3" s="109" t="str">
        <f>سهام!A3</f>
        <v>برای ماه منتهی به 1405/04/31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17" ht="14.45" customHeight="1"/>
    <row r="5" spans="1:17" ht="14.45" customHeight="1">
      <c r="A5" s="113" t="s">
        <v>98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</row>
    <row r="6" spans="1:17" ht="14.45" customHeight="1">
      <c r="A6" s="111" t="s">
        <v>60</v>
      </c>
      <c r="B6" s="9"/>
      <c r="C6" s="119" t="s">
        <v>72</v>
      </c>
      <c r="D6" s="119"/>
      <c r="E6" s="119"/>
      <c r="F6" s="119"/>
      <c r="G6" s="119"/>
      <c r="H6" s="119"/>
      <c r="I6" s="119"/>
      <c r="J6" s="119"/>
      <c r="K6" s="119"/>
      <c r="L6" s="9"/>
      <c r="M6" s="111" t="s">
        <v>73</v>
      </c>
      <c r="N6" s="111"/>
      <c r="O6" s="111"/>
      <c r="P6" s="111"/>
      <c r="Q6" s="111"/>
    </row>
    <row r="7" spans="1:17" ht="29.1" customHeight="1">
      <c r="A7" s="111"/>
      <c r="B7" s="9"/>
      <c r="C7" s="72" t="s">
        <v>47</v>
      </c>
      <c r="D7" s="9"/>
      <c r="E7" s="72" t="s">
        <v>99</v>
      </c>
      <c r="F7" s="9"/>
      <c r="G7" s="72" t="s">
        <v>100</v>
      </c>
      <c r="H7" s="9"/>
      <c r="I7" s="72" t="s">
        <v>96</v>
      </c>
      <c r="J7" s="9"/>
      <c r="K7" s="72" t="s">
        <v>101</v>
      </c>
      <c r="L7" s="9"/>
      <c r="M7" s="46" t="s">
        <v>100</v>
      </c>
      <c r="N7" s="10"/>
      <c r="O7" s="46" t="s">
        <v>96</v>
      </c>
      <c r="P7" s="10"/>
      <c r="Q7" s="46" t="s">
        <v>101</v>
      </c>
    </row>
    <row r="8" spans="1:17" ht="21.75" customHeight="1">
      <c r="A8" s="25" t="s">
        <v>49</v>
      </c>
      <c r="B8" s="9"/>
      <c r="C8" s="25" t="s">
        <v>52</v>
      </c>
      <c r="D8" s="9"/>
      <c r="E8" s="19">
        <v>23</v>
      </c>
      <c r="F8" s="9"/>
      <c r="G8" s="19">
        <v>14531728393</v>
      </c>
      <c r="H8" s="19"/>
      <c r="I8" s="19">
        <v>0</v>
      </c>
      <c r="J8" s="9"/>
      <c r="K8" s="19">
        <f>G8+I8</f>
        <v>14531728393</v>
      </c>
      <c r="L8" s="19"/>
      <c r="M8" s="19">
        <v>27397441907</v>
      </c>
      <c r="N8" s="19"/>
      <c r="O8" s="19">
        <v>0</v>
      </c>
      <c r="P8" s="19"/>
      <c r="Q8" s="19">
        <f>M8+O8</f>
        <v>27397441907</v>
      </c>
    </row>
    <row r="9" spans="1:17" ht="21.75" customHeight="1" thickBot="1">
      <c r="A9" s="22"/>
      <c r="B9" s="31"/>
      <c r="C9" s="37"/>
      <c r="D9" s="31"/>
      <c r="E9" s="37"/>
      <c r="F9" s="9"/>
      <c r="G9" s="11">
        <f>SUM(G8:G8)</f>
        <v>14531728393</v>
      </c>
      <c r="H9" s="9"/>
      <c r="I9" s="11">
        <f>SUM(I8:I8)</f>
        <v>0</v>
      </c>
      <c r="J9" s="9"/>
      <c r="K9" s="11">
        <f>SUM(K8:K8)</f>
        <v>14531728393</v>
      </c>
      <c r="L9" s="9"/>
      <c r="M9" s="11">
        <f>SUM(M8:M8)</f>
        <v>27397441907</v>
      </c>
      <c r="N9" s="9"/>
      <c r="O9" s="11">
        <f>SUM(O8:O8)</f>
        <v>0</v>
      </c>
      <c r="P9" s="9"/>
      <c r="Q9" s="11">
        <f>SUM(Q8:Q8)</f>
        <v>27397441907</v>
      </c>
    </row>
    <row r="10" spans="1:17" ht="13.5" thickTop="1">
      <c r="G10" s="40"/>
      <c r="K10" s="40"/>
      <c r="M10" s="40"/>
      <c r="Q10" s="40"/>
    </row>
  </sheetData>
  <mergeCells count="7">
    <mergeCell ref="A1:Q1"/>
    <mergeCell ref="A2:Q2"/>
    <mergeCell ref="A3:Q3"/>
    <mergeCell ref="A5:Q5"/>
    <mergeCell ref="A6:A7"/>
    <mergeCell ref="M6:Q6"/>
    <mergeCell ref="C6:K6"/>
  </mergeCells>
  <pageMargins left="0.39" right="0.39" top="0.39" bottom="0.39" header="0" footer="0"/>
  <pageSetup scale="8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3"/>
  <sheetViews>
    <sheetView rightToLeft="1" view="pageBreakPreview" zoomScale="106" zoomScaleNormal="100" zoomScaleSheetLayoutView="106" workbookViewId="0">
      <selection activeCell="M10" sqref="M10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09" t="str">
        <f>سهام!A1</f>
        <v>صندوق سرمایه‌گذاری افق دماوند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21.75" customHeight="1">
      <c r="A2" s="109" t="s">
        <v>57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ht="21.75" customHeight="1">
      <c r="A3" s="109" t="str">
        <f>سهام!A3</f>
        <v>برای ماه منتهی به 1405/04/31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13" ht="14.45" customHeight="1"/>
    <row r="5" spans="1:13" ht="14.45" customHeight="1">
      <c r="A5" s="113" t="s">
        <v>102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</row>
    <row r="6" spans="1:13" ht="14.45" customHeight="1">
      <c r="A6" s="111" t="s">
        <v>60</v>
      </c>
      <c r="C6" s="111" t="s">
        <v>72</v>
      </c>
      <c r="D6" s="111"/>
      <c r="E6" s="111"/>
      <c r="F6" s="111"/>
      <c r="G6" s="111"/>
      <c r="I6" s="111" t="s">
        <v>73</v>
      </c>
      <c r="J6" s="111"/>
      <c r="K6" s="111"/>
      <c r="L6" s="111"/>
      <c r="M6" s="111"/>
    </row>
    <row r="7" spans="1:13" ht="29.1" customHeight="1">
      <c r="A7" s="111"/>
      <c r="C7" s="8" t="s">
        <v>100</v>
      </c>
      <c r="D7" s="3"/>
      <c r="E7" s="8" t="s">
        <v>96</v>
      </c>
      <c r="F7" s="3"/>
      <c r="G7" s="8" t="s">
        <v>101</v>
      </c>
      <c r="I7" s="8" t="s">
        <v>100</v>
      </c>
      <c r="J7" s="3"/>
      <c r="K7" s="8" t="s">
        <v>96</v>
      </c>
      <c r="L7" s="3"/>
      <c r="M7" s="8" t="s">
        <v>101</v>
      </c>
    </row>
    <row r="8" spans="1:13" ht="21.75" customHeight="1">
      <c r="A8" s="5" t="s">
        <v>123</v>
      </c>
      <c r="C8" s="34">
        <v>0</v>
      </c>
      <c r="D8" s="31"/>
      <c r="E8" s="34">
        <v>0</v>
      </c>
      <c r="F8" s="31"/>
      <c r="G8" s="34">
        <f>C8+E8</f>
        <v>0</v>
      </c>
      <c r="H8" s="31"/>
      <c r="I8" s="34">
        <v>245778</v>
      </c>
      <c r="J8" s="31"/>
      <c r="K8" s="34">
        <v>0</v>
      </c>
      <c r="L8" s="31"/>
      <c r="M8" s="37">
        <f>I8+K8</f>
        <v>245778</v>
      </c>
    </row>
    <row r="9" spans="1:13" ht="21.75" customHeight="1">
      <c r="A9" s="6" t="s">
        <v>121</v>
      </c>
      <c r="C9" s="37">
        <v>88533</v>
      </c>
      <c r="D9" s="31"/>
      <c r="E9" s="37">
        <v>0</v>
      </c>
      <c r="F9" s="31"/>
      <c r="G9" s="37">
        <f t="shared" ref="G9:G10" si="0">C9+E9</f>
        <v>88533</v>
      </c>
      <c r="H9" s="31"/>
      <c r="I9" s="37">
        <v>1150306</v>
      </c>
      <c r="J9" s="31"/>
      <c r="K9" s="37">
        <v>0</v>
      </c>
      <c r="L9" s="31"/>
      <c r="M9" s="37">
        <f t="shared" ref="M9:M10" si="1">I9+K9</f>
        <v>1150306</v>
      </c>
    </row>
    <row r="10" spans="1:13" ht="21.75" customHeight="1">
      <c r="A10" s="6" t="s">
        <v>122</v>
      </c>
      <c r="C10" s="38">
        <v>0</v>
      </c>
      <c r="D10" s="31"/>
      <c r="E10" s="38">
        <v>0</v>
      </c>
      <c r="F10" s="31"/>
      <c r="G10" s="37">
        <f t="shared" si="0"/>
        <v>0</v>
      </c>
      <c r="H10" s="31"/>
      <c r="I10" s="38">
        <v>2045</v>
      </c>
      <c r="J10" s="31"/>
      <c r="K10" s="38">
        <v>0</v>
      </c>
      <c r="L10" s="31"/>
      <c r="M10" s="37">
        <f t="shared" si="1"/>
        <v>2045</v>
      </c>
    </row>
    <row r="11" spans="1:13" ht="21.75" customHeight="1">
      <c r="A11" s="22"/>
      <c r="C11" s="39">
        <f>SUM(C8:C10)</f>
        <v>88533</v>
      </c>
      <c r="D11" s="31"/>
      <c r="E11" s="39">
        <f>SUM(E8:E10)</f>
        <v>0</v>
      </c>
      <c r="F11" s="31"/>
      <c r="G11" s="39">
        <f>SUM(G8:G10)</f>
        <v>88533</v>
      </c>
      <c r="H11" s="31"/>
      <c r="I11" s="39">
        <f>SUM(I8:I10)</f>
        <v>1398129</v>
      </c>
      <c r="J11" s="31"/>
      <c r="K11" s="39">
        <f>SUM(K8:K10)</f>
        <v>0</v>
      </c>
      <c r="L11" s="31"/>
      <c r="M11" s="39">
        <f>SUM(M8:M10)</f>
        <v>1398129</v>
      </c>
    </row>
    <row r="12" spans="1:13">
      <c r="G12" s="40"/>
      <c r="M12" s="40"/>
    </row>
    <row r="13" spans="1:13">
      <c r="C13" s="40"/>
      <c r="G13" s="40"/>
      <c r="I13" s="40"/>
      <c r="M13" s="4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R38"/>
  <sheetViews>
    <sheetView rightToLeft="1" view="pageBreakPreview" topLeftCell="A13" zoomScaleNormal="100" zoomScaleSheetLayoutView="100" workbookViewId="0">
      <selection activeCell="Q31" sqref="G31:Q36"/>
    </sheetView>
  </sheetViews>
  <sheetFormatPr defaultRowHeight="18.75"/>
  <cols>
    <col min="1" max="1" width="29.85546875" style="9" bestFit="1" customWidth="1"/>
    <col min="2" max="2" width="1.28515625" style="9" customWidth="1"/>
    <col min="3" max="3" width="11.7109375" style="9" bestFit="1" customWidth="1"/>
    <col min="4" max="4" width="1.28515625" style="9" customWidth="1"/>
    <col min="5" max="5" width="16.7109375" style="9" bestFit="1" customWidth="1"/>
    <col min="6" max="6" width="1.28515625" style="9" customWidth="1"/>
    <col min="7" max="7" width="16.7109375" style="9" bestFit="1" customWidth="1"/>
    <col min="8" max="8" width="1.28515625" style="9" customWidth="1"/>
    <col min="9" max="9" width="22" style="9" bestFit="1" customWidth="1"/>
    <col min="10" max="10" width="1.28515625" style="9" customWidth="1"/>
    <col min="11" max="11" width="14.42578125" style="9" bestFit="1" customWidth="1"/>
    <col min="12" max="12" width="1.28515625" style="9" customWidth="1"/>
    <col min="13" max="13" width="18.5703125" style="9" bestFit="1" customWidth="1"/>
    <col min="14" max="14" width="1.28515625" style="9" customWidth="1"/>
    <col min="15" max="15" width="18.42578125" style="9" bestFit="1" customWidth="1"/>
    <col min="16" max="16" width="1.28515625" style="9" customWidth="1"/>
    <col min="17" max="17" width="22" style="9" bestFit="1" customWidth="1"/>
    <col min="18" max="18" width="17.28515625" style="24" bestFit="1" customWidth="1"/>
    <col min="19" max="16384" width="9.140625" style="9"/>
  </cols>
  <sheetData>
    <row r="1" spans="1:18" ht="29.1" customHeight="1">
      <c r="A1" s="109" t="str">
        <f>سهام!A1</f>
        <v>صندوق سرمایه‌گذاری افق دماوند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8" ht="21.75" customHeight="1">
      <c r="A2" s="109" t="s">
        <v>57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8" ht="21.75" customHeight="1">
      <c r="A3" s="109" t="str">
        <f>سهام!A3</f>
        <v>برای ماه منتهی به 1405/04/31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18" ht="14.45" customHeight="1"/>
    <row r="5" spans="1:18" ht="14.45" customHeight="1">
      <c r="A5" s="113" t="s">
        <v>103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</row>
    <row r="6" spans="1:18" ht="14.45" customHeight="1">
      <c r="A6" s="111" t="s">
        <v>60</v>
      </c>
      <c r="C6" s="111" t="s">
        <v>72</v>
      </c>
      <c r="D6" s="111"/>
      <c r="E6" s="111"/>
      <c r="F6" s="111"/>
      <c r="G6" s="111"/>
      <c r="H6" s="111"/>
      <c r="I6" s="111"/>
      <c r="K6" s="111" t="s">
        <v>73</v>
      </c>
      <c r="L6" s="111"/>
      <c r="M6" s="111"/>
      <c r="N6" s="111"/>
      <c r="O6" s="111"/>
      <c r="P6" s="111"/>
      <c r="Q6" s="111"/>
    </row>
    <row r="7" spans="1:18" ht="29.1" customHeight="1">
      <c r="A7" s="111"/>
      <c r="C7" s="8" t="s">
        <v>5</v>
      </c>
      <c r="D7" s="10"/>
      <c r="E7" s="8" t="s">
        <v>104</v>
      </c>
      <c r="F7" s="10"/>
      <c r="G7" s="8" t="s">
        <v>105</v>
      </c>
      <c r="H7" s="10"/>
      <c r="I7" s="8" t="s">
        <v>106</v>
      </c>
      <c r="K7" s="8" t="s">
        <v>5</v>
      </c>
      <c r="L7" s="10"/>
      <c r="M7" s="8" t="s">
        <v>104</v>
      </c>
      <c r="N7" s="10"/>
      <c r="O7" s="8" t="s">
        <v>105</v>
      </c>
      <c r="P7" s="10"/>
      <c r="Q7" s="8" t="s">
        <v>106</v>
      </c>
    </row>
    <row r="8" spans="1:18">
      <c r="A8" s="6" t="s">
        <v>175</v>
      </c>
      <c r="C8" s="77">
        <v>1200000</v>
      </c>
      <c r="D8" s="77"/>
      <c r="E8" s="77">
        <v>3610275192</v>
      </c>
      <c r="F8" s="77"/>
      <c r="G8" s="77">
        <v>3475584244</v>
      </c>
      <c r="H8" s="77"/>
      <c r="I8" s="77">
        <f>E8-G8</f>
        <v>134690948</v>
      </c>
      <c r="J8" s="77"/>
      <c r="K8" s="77">
        <v>1200000</v>
      </c>
      <c r="L8" s="77"/>
      <c r="M8" s="77">
        <v>3610275192</v>
      </c>
      <c r="N8" s="77"/>
      <c r="O8" s="77">
        <v>3475584244</v>
      </c>
      <c r="P8" s="77"/>
      <c r="Q8" s="77">
        <f>M8-O8</f>
        <v>134690948</v>
      </c>
      <c r="R8" s="50"/>
    </row>
    <row r="9" spans="1:18">
      <c r="A9" s="6" t="s">
        <v>177</v>
      </c>
      <c r="C9" s="77">
        <v>100000</v>
      </c>
      <c r="D9" s="77"/>
      <c r="E9" s="77">
        <v>1403069799</v>
      </c>
      <c r="F9" s="77"/>
      <c r="G9" s="77">
        <v>1174218640</v>
      </c>
      <c r="H9" s="77"/>
      <c r="I9" s="77">
        <f t="shared" ref="I9:I28" si="0">E9-G9</f>
        <v>228851159</v>
      </c>
      <c r="J9" s="77"/>
      <c r="K9" s="77">
        <v>100000</v>
      </c>
      <c r="L9" s="77"/>
      <c r="M9" s="77">
        <v>1403069799</v>
      </c>
      <c r="N9" s="77"/>
      <c r="O9" s="77">
        <v>1174218640</v>
      </c>
      <c r="P9" s="77"/>
      <c r="Q9" s="77">
        <f t="shared" ref="Q9:Q28" si="1">M9-O9</f>
        <v>228851159</v>
      </c>
      <c r="R9" s="50"/>
    </row>
    <row r="10" spans="1:18">
      <c r="A10" s="6" t="s">
        <v>178</v>
      </c>
      <c r="C10" s="77">
        <v>400000</v>
      </c>
      <c r="D10" s="77"/>
      <c r="E10" s="77">
        <v>7684138946</v>
      </c>
      <c r="F10" s="77"/>
      <c r="G10" s="77">
        <v>4063093301</v>
      </c>
      <c r="H10" s="77"/>
      <c r="I10" s="77">
        <f t="shared" si="0"/>
        <v>3621045645</v>
      </c>
      <c r="J10" s="77"/>
      <c r="K10" s="77">
        <v>400000</v>
      </c>
      <c r="L10" s="77"/>
      <c r="M10" s="77">
        <v>7684138946</v>
      </c>
      <c r="N10" s="77"/>
      <c r="O10" s="77">
        <v>4063093301</v>
      </c>
      <c r="P10" s="77"/>
      <c r="Q10" s="77">
        <f t="shared" si="1"/>
        <v>3621045645</v>
      </c>
      <c r="R10" s="50"/>
    </row>
    <row r="11" spans="1:18">
      <c r="A11" s="6" t="s">
        <v>25</v>
      </c>
      <c r="C11" s="77">
        <v>1000000</v>
      </c>
      <c r="D11" s="77"/>
      <c r="E11" s="77">
        <v>12720901464</v>
      </c>
      <c r="F11" s="77"/>
      <c r="G11" s="77">
        <v>10319736461</v>
      </c>
      <c r="H11" s="77"/>
      <c r="I11" s="77">
        <f t="shared" si="0"/>
        <v>2401165003</v>
      </c>
      <c r="J11" s="77"/>
      <c r="K11" s="77">
        <v>19700000</v>
      </c>
      <c r="L11" s="77"/>
      <c r="M11" s="77">
        <v>236771390982</v>
      </c>
      <c r="N11" s="77"/>
      <c r="O11" s="77">
        <v>203406550229</v>
      </c>
      <c r="P11" s="77"/>
      <c r="Q11" s="77">
        <f t="shared" si="1"/>
        <v>33364840753</v>
      </c>
      <c r="R11" s="50"/>
    </row>
    <row r="12" spans="1:18">
      <c r="A12" s="6" t="s">
        <v>147</v>
      </c>
      <c r="C12" s="77">
        <v>147597</v>
      </c>
      <c r="D12" s="77"/>
      <c r="E12" s="77">
        <v>19296084085</v>
      </c>
      <c r="F12" s="77"/>
      <c r="G12" s="77">
        <v>21041873414</v>
      </c>
      <c r="H12" s="77"/>
      <c r="I12" s="77">
        <f t="shared" si="0"/>
        <v>-1745789329</v>
      </c>
      <c r="J12" s="77"/>
      <c r="K12" s="77">
        <v>147597</v>
      </c>
      <c r="L12" s="77"/>
      <c r="M12" s="77">
        <v>19296084085</v>
      </c>
      <c r="N12" s="77"/>
      <c r="O12" s="77">
        <v>21041873414</v>
      </c>
      <c r="P12" s="77"/>
      <c r="Q12" s="77">
        <f t="shared" si="1"/>
        <v>-1745789329</v>
      </c>
      <c r="R12" s="50"/>
    </row>
    <row r="13" spans="1:18">
      <c r="A13" s="6" t="s">
        <v>170</v>
      </c>
      <c r="C13" s="77">
        <v>1200000</v>
      </c>
      <c r="D13" s="77"/>
      <c r="E13" s="77">
        <v>5938735979</v>
      </c>
      <c r="F13" s="77"/>
      <c r="G13" s="77">
        <v>4266294090</v>
      </c>
      <c r="H13" s="77"/>
      <c r="I13" s="77">
        <f t="shared" si="0"/>
        <v>1672441889</v>
      </c>
      <c r="J13" s="77"/>
      <c r="K13" s="77">
        <v>1600000</v>
      </c>
      <c r="L13" s="77"/>
      <c r="M13" s="77">
        <v>7814523193</v>
      </c>
      <c r="N13" s="77"/>
      <c r="O13" s="77">
        <v>5689200675</v>
      </c>
      <c r="P13" s="77"/>
      <c r="Q13" s="77">
        <f t="shared" si="1"/>
        <v>2125322518</v>
      </c>
      <c r="R13" s="50"/>
    </row>
    <row r="14" spans="1:18">
      <c r="A14" s="6" t="s">
        <v>78</v>
      </c>
      <c r="C14" s="77">
        <v>2300000</v>
      </c>
      <c r="D14" s="77"/>
      <c r="E14" s="77">
        <v>86352205163</v>
      </c>
      <c r="F14" s="77"/>
      <c r="G14" s="77">
        <v>99288577443</v>
      </c>
      <c r="H14" s="77"/>
      <c r="I14" s="77">
        <f t="shared" si="0"/>
        <v>-12936372280</v>
      </c>
      <c r="J14" s="77"/>
      <c r="K14" s="77">
        <v>2300000</v>
      </c>
      <c r="L14" s="77"/>
      <c r="M14" s="77">
        <v>86352205163</v>
      </c>
      <c r="N14" s="77"/>
      <c r="O14" s="77">
        <v>99288577443</v>
      </c>
      <c r="P14" s="77"/>
      <c r="Q14" s="77">
        <f t="shared" si="1"/>
        <v>-12936372280</v>
      </c>
      <c r="R14" s="50"/>
    </row>
    <row r="15" spans="1:18">
      <c r="A15" s="6" t="s">
        <v>11</v>
      </c>
      <c r="C15" s="77">
        <v>4400000</v>
      </c>
      <c r="D15" s="77"/>
      <c r="E15" s="77">
        <v>11581378627</v>
      </c>
      <c r="F15" s="77"/>
      <c r="G15" s="77">
        <v>10339030424</v>
      </c>
      <c r="H15" s="77"/>
      <c r="I15" s="77">
        <f t="shared" si="0"/>
        <v>1242348203</v>
      </c>
      <c r="J15" s="77"/>
      <c r="K15" s="77">
        <v>14400000</v>
      </c>
      <c r="L15" s="77"/>
      <c r="M15" s="77">
        <v>39444320399</v>
      </c>
      <c r="N15" s="77"/>
      <c r="O15" s="77">
        <v>33824817196</v>
      </c>
      <c r="P15" s="77"/>
      <c r="Q15" s="77">
        <f t="shared" si="1"/>
        <v>5619503203</v>
      </c>
      <c r="R15" s="50"/>
    </row>
    <row r="16" spans="1:18">
      <c r="A16" s="6" t="s">
        <v>172</v>
      </c>
      <c r="C16" s="77">
        <v>600000</v>
      </c>
      <c r="D16" s="77"/>
      <c r="E16" s="77">
        <v>4834339474</v>
      </c>
      <c r="F16" s="77"/>
      <c r="G16" s="77">
        <v>4672854923</v>
      </c>
      <c r="H16" s="77"/>
      <c r="I16" s="77">
        <f t="shared" si="0"/>
        <v>161484551</v>
      </c>
      <c r="J16" s="77"/>
      <c r="K16" s="77">
        <v>600000</v>
      </c>
      <c r="L16" s="77"/>
      <c r="M16" s="77">
        <v>4834339474</v>
      </c>
      <c r="N16" s="77"/>
      <c r="O16" s="77">
        <v>4672854923</v>
      </c>
      <c r="P16" s="77"/>
      <c r="Q16" s="77">
        <f t="shared" si="1"/>
        <v>161484551</v>
      </c>
      <c r="R16" s="50"/>
    </row>
    <row r="17" spans="1:18">
      <c r="A17" s="6" t="s">
        <v>206</v>
      </c>
      <c r="C17" s="77">
        <v>160686</v>
      </c>
      <c r="D17" s="77"/>
      <c r="E17" s="77">
        <v>23659954428</v>
      </c>
      <c r="F17" s="77"/>
      <c r="G17" s="77">
        <v>30862599493</v>
      </c>
      <c r="H17" s="77"/>
      <c r="I17" s="77">
        <f t="shared" si="0"/>
        <v>-7202645065</v>
      </c>
      <c r="J17" s="77"/>
      <c r="K17" s="77">
        <v>160686</v>
      </c>
      <c r="L17" s="77"/>
      <c r="M17" s="77">
        <v>23659954428</v>
      </c>
      <c r="N17" s="77"/>
      <c r="O17" s="77">
        <v>30862599493</v>
      </c>
      <c r="P17" s="77"/>
      <c r="Q17" s="77">
        <f t="shared" si="1"/>
        <v>-7202645065</v>
      </c>
      <c r="R17" s="50"/>
    </row>
    <row r="18" spans="1:18">
      <c r="A18" s="6" t="s">
        <v>18</v>
      </c>
      <c r="C18" s="77">
        <v>150000</v>
      </c>
      <c r="D18" s="77"/>
      <c r="E18" s="77">
        <v>5172229823</v>
      </c>
      <c r="F18" s="77"/>
      <c r="G18" s="77">
        <v>5221218985</v>
      </c>
      <c r="H18" s="77"/>
      <c r="I18" s="77">
        <f t="shared" si="0"/>
        <v>-48989162</v>
      </c>
      <c r="J18" s="77"/>
      <c r="K18" s="77">
        <v>150000</v>
      </c>
      <c r="L18" s="77"/>
      <c r="M18" s="77">
        <v>5172229823</v>
      </c>
      <c r="N18" s="77"/>
      <c r="O18" s="77">
        <v>5221218985</v>
      </c>
      <c r="P18" s="77"/>
      <c r="Q18" s="77">
        <f t="shared" si="1"/>
        <v>-48989162</v>
      </c>
      <c r="R18" s="50"/>
    </row>
    <row r="19" spans="1:18">
      <c r="A19" s="6" t="s">
        <v>146</v>
      </c>
      <c r="C19" s="77">
        <v>400000</v>
      </c>
      <c r="D19" s="77"/>
      <c r="E19" s="77">
        <v>25479509123</v>
      </c>
      <c r="F19" s="77"/>
      <c r="G19" s="77">
        <v>20718560723</v>
      </c>
      <c r="H19" s="77"/>
      <c r="I19" s="77">
        <f t="shared" si="0"/>
        <v>4760948400</v>
      </c>
      <c r="J19" s="77"/>
      <c r="K19" s="77">
        <v>400000</v>
      </c>
      <c r="L19" s="77"/>
      <c r="M19" s="77">
        <v>25479509123</v>
      </c>
      <c r="N19" s="77"/>
      <c r="O19" s="77">
        <v>20718560723</v>
      </c>
      <c r="P19" s="77"/>
      <c r="Q19" s="77">
        <f t="shared" si="1"/>
        <v>4760948400</v>
      </c>
      <c r="R19" s="50"/>
    </row>
    <row r="20" spans="1:18">
      <c r="A20" s="6" t="s">
        <v>28</v>
      </c>
      <c r="C20" s="77">
        <v>0</v>
      </c>
      <c r="D20" s="77"/>
      <c r="E20" s="77">
        <v>0</v>
      </c>
      <c r="F20" s="77"/>
      <c r="G20" s="77">
        <v>0</v>
      </c>
      <c r="H20" s="77"/>
      <c r="I20" s="77">
        <f t="shared" si="0"/>
        <v>0</v>
      </c>
      <c r="J20" s="77"/>
      <c r="K20" s="77">
        <v>800000</v>
      </c>
      <c r="L20" s="77"/>
      <c r="M20" s="77">
        <v>23616026050</v>
      </c>
      <c r="N20" s="77"/>
      <c r="O20" s="77">
        <v>21256996216</v>
      </c>
      <c r="P20" s="77"/>
      <c r="Q20" s="77">
        <f t="shared" si="1"/>
        <v>2359029834</v>
      </c>
      <c r="R20" s="50"/>
    </row>
    <row r="21" spans="1:18">
      <c r="A21" s="6" t="s">
        <v>135</v>
      </c>
      <c r="C21" s="77">
        <v>0</v>
      </c>
      <c r="D21" s="77"/>
      <c r="E21" s="77">
        <v>0</v>
      </c>
      <c r="F21" s="77"/>
      <c r="G21" s="77">
        <v>0</v>
      </c>
      <c r="H21" s="77"/>
      <c r="I21" s="77">
        <f t="shared" si="0"/>
        <v>0</v>
      </c>
      <c r="J21" s="77"/>
      <c r="K21" s="77">
        <v>75000</v>
      </c>
      <c r="L21" s="77"/>
      <c r="M21" s="77">
        <v>4129083604</v>
      </c>
      <c r="N21" s="77"/>
      <c r="O21" s="77">
        <v>3647914980</v>
      </c>
      <c r="P21" s="77"/>
      <c r="Q21" s="77">
        <f t="shared" si="1"/>
        <v>481168624</v>
      </c>
      <c r="R21" s="50"/>
    </row>
    <row r="22" spans="1:18">
      <c r="A22" s="6" t="s">
        <v>12</v>
      </c>
      <c r="C22" s="77">
        <v>0</v>
      </c>
      <c r="D22" s="77"/>
      <c r="E22" s="77">
        <v>0</v>
      </c>
      <c r="F22" s="77"/>
      <c r="G22" s="77">
        <v>0</v>
      </c>
      <c r="H22" s="77"/>
      <c r="I22" s="77">
        <f t="shared" si="0"/>
        <v>0</v>
      </c>
      <c r="J22" s="77"/>
      <c r="K22" s="77">
        <v>7500001</v>
      </c>
      <c r="L22" s="77"/>
      <c r="M22" s="77">
        <v>98755672371</v>
      </c>
      <c r="N22" s="77"/>
      <c r="O22" s="77">
        <v>96215155085</v>
      </c>
      <c r="P22" s="77"/>
      <c r="Q22" s="77">
        <f t="shared" si="1"/>
        <v>2540517286</v>
      </c>
      <c r="R22" s="50"/>
    </row>
    <row r="23" spans="1:18">
      <c r="A23" s="6" t="s">
        <v>19</v>
      </c>
      <c r="C23" s="77">
        <v>0</v>
      </c>
      <c r="D23" s="77"/>
      <c r="E23" s="77">
        <v>0</v>
      </c>
      <c r="F23" s="77"/>
      <c r="G23" s="77">
        <v>0</v>
      </c>
      <c r="H23" s="77"/>
      <c r="I23" s="77">
        <f t="shared" si="0"/>
        <v>0</v>
      </c>
      <c r="J23" s="77"/>
      <c r="K23" s="77">
        <v>1</v>
      </c>
      <c r="L23" s="77"/>
      <c r="M23" s="77">
        <v>1</v>
      </c>
      <c r="N23" s="77"/>
      <c r="O23" s="77">
        <v>10041</v>
      </c>
      <c r="P23" s="77"/>
      <c r="Q23" s="77">
        <f t="shared" si="1"/>
        <v>-10040</v>
      </c>
      <c r="R23" s="50"/>
    </row>
    <row r="24" spans="1:18">
      <c r="A24" s="6" t="s">
        <v>15</v>
      </c>
      <c r="C24" s="77">
        <v>0</v>
      </c>
      <c r="D24" s="77"/>
      <c r="E24" s="77">
        <v>0</v>
      </c>
      <c r="F24" s="77"/>
      <c r="G24" s="77">
        <v>0</v>
      </c>
      <c r="H24" s="77"/>
      <c r="I24" s="77">
        <f t="shared" si="0"/>
        <v>0</v>
      </c>
      <c r="J24" s="77"/>
      <c r="K24" s="77">
        <v>1125601</v>
      </c>
      <c r="L24" s="77"/>
      <c r="M24" s="77">
        <v>68393070510</v>
      </c>
      <c r="N24" s="77"/>
      <c r="O24" s="77">
        <v>50397848114</v>
      </c>
      <c r="P24" s="77"/>
      <c r="Q24" s="77">
        <f t="shared" si="1"/>
        <v>17995222396</v>
      </c>
      <c r="R24" s="50"/>
    </row>
    <row r="25" spans="1:18">
      <c r="A25" s="6" t="s">
        <v>13</v>
      </c>
      <c r="C25" s="77">
        <v>0</v>
      </c>
      <c r="D25" s="77"/>
      <c r="E25" s="77">
        <v>0</v>
      </c>
      <c r="F25" s="77"/>
      <c r="G25" s="77">
        <v>0</v>
      </c>
      <c r="H25" s="77"/>
      <c r="I25" s="77">
        <f t="shared" si="0"/>
        <v>0</v>
      </c>
      <c r="J25" s="77"/>
      <c r="K25" s="77">
        <v>700000</v>
      </c>
      <c r="L25" s="77"/>
      <c r="M25" s="77">
        <v>7388442477</v>
      </c>
      <c r="N25" s="77"/>
      <c r="O25" s="77">
        <v>5179378600</v>
      </c>
      <c r="P25" s="77"/>
      <c r="Q25" s="77">
        <f t="shared" si="1"/>
        <v>2209063877</v>
      </c>
      <c r="R25" s="50"/>
    </row>
    <row r="26" spans="1:18">
      <c r="A26" s="6" t="s">
        <v>149</v>
      </c>
      <c r="C26" s="77">
        <v>0</v>
      </c>
      <c r="D26" s="77"/>
      <c r="E26" s="77">
        <v>0</v>
      </c>
      <c r="F26" s="77"/>
      <c r="G26" s="77">
        <v>0</v>
      </c>
      <c r="H26" s="77"/>
      <c r="I26" s="77">
        <f t="shared" si="0"/>
        <v>0</v>
      </c>
      <c r="J26" s="77"/>
      <c r="K26" s="77">
        <v>750000</v>
      </c>
      <c r="L26" s="77"/>
      <c r="M26" s="77">
        <v>8766705495</v>
      </c>
      <c r="N26" s="77"/>
      <c r="O26" s="77">
        <v>6488129520</v>
      </c>
      <c r="P26" s="77"/>
      <c r="Q26" s="77">
        <f t="shared" si="1"/>
        <v>2278575975</v>
      </c>
      <c r="R26" s="50"/>
    </row>
    <row r="27" spans="1:18">
      <c r="A27" s="6" t="s">
        <v>180</v>
      </c>
      <c r="C27" s="77">
        <v>0</v>
      </c>
      <c r="D27" s="77"/>
      <c r="E27" s="77">
        <v>0</v>
      </c>
      <c r="F27" s="77"/>
      <c r="G27" s="77">
        <v>0</v>
      </c>
      <c r="H27" s="77"/>
      <c r="I27" s="77">
        <f t="shared" si="0"/>
        <v>0</v>
      </c>
      <c r="J27" s="77"/>
      <c r="K27" s="77">
        <v>219000</v>
      </c>
      <c r="L27" s="77"/>
      <c r="M27" s="77">
        <v>6779982620</v>
      </c>
      <c r="N27" s="77"/>
      <c r="O27" s="77">
        <v>5243648540</v>
      </c>
      <c r="P27" s="77"/>
      <c r="Q27" s="77">
        <f t="shared" si="1"/>
        <v>1536334080</v>
      </c>
      <c r="R27" s="50"/>
    </row>
    <row r="28" spans="1:18">
      <c r="A28" s="6" t="s">
        <v>49</v>
      </c>
      <c r="C28" s="77">
        <v>17000</v>
      </c>
      <c r="D28" s="77"/>
      <c r="E28" s="77">
        <v>16990756250</v>
      </c>
      <c r="F28" s="77"/>
      <c r="G28" s="77">
        <v>16999408138</v>
      </c>
      <c r="H28" s="77"/>
      <c r="I28" s="77">
        <f t="shared" si="0"/>
        <v>-8651888</v>
      </c>
      <c r="J28" s="77"/>
      <c r="K28" s="77">
        <v>220800</v>
      </c>
      <c r="L28" s="77"/>
      <c r="M28" s="77">
        <v>220680465000</v>
      </c>
      <c r="N28" s="77"/>
      <c r="O28" s="77">
        <v>220590263138</v>
      </c>
      <c r="P28" s="77"/>
      <c r="Q28" s="77">
        <f t="shared" si="1"/>
        <v>90201862</v>
      </c>
      <c r="R28" s="50"/>
    </row>
    <row r="29" spans="1:18" ht="19.5" thickBot="1">
      <c r="C29" s="77"/>
      <c r="D29" s="92"/>
      <c r="E29" s="96">
        <f>SUM(E8:E28)</f>
        <v>224723578353</v>
      </c>
      <c r="F29" s="92"/>
      <c r="G29" s="96">
        <f>SUM(G8:G28)</f>
        <v>232443050279</v>
      </c>
      <c r="H29" s="92"/>
      <c r="I29" s="96">
        <f>SUM(I8:I28)</f>
        <v>-7719471926</v>
      </c>
      <c r="J29" s="92"/>
      <c r="K29" s="77"/>
      <c r="L29" s="92"/>
      <c r="M29" s="96">
        <f>SUM(M8:M28)</f>
        <v>900031488735</v>
      </c>
      <c r="N29" s="92"/>
      <c r="O29" s="96">
        <f>SUM(O8:O28)</f>
        <v>842458493500</v>
      </c>
      <c r="P29" s="92"/>
      <c r="Q29" s="96">
        <f>SUM(Q8:Q28)</f>
        <v>57572995235</v>
      </c>
    </row>
    <row r="30" spans="1:18" ht="19.5" thickTop="1">
      <c r="I30" s="23"/>
      <c r="M30" s="77"/>
      <c r="Q30" s="23"/>
    </row>
    <row r="31" spans="1:18">
      <c r="I31" s="67"/>
      <c r="M31" s="77"/>
      <c r="Q31" s="67"/>
    </row>
    <row r="32" spans="1:18">
      <c r="I32" s="23"/>
      <c r="Q32" s="67"/>
    </row>
    <row r="33" spans="7:17">
      <c r="I33" s="67"/>
      <c r="Q33" s="67"/>
    </row>
    <row r="34" spans="7:17">
      <c r="I34" s="23"/>
      <c r="Q34" s="67"/>
    </row>
    <row r="35" spans="7:17">
      <c r="Q35" s="23"/>
    </row>
    <row r="38" spans="7:17">
      <c r="G38" s="2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370078740157483" right="0.39370078740157483" top="0.39370078740157483" bottom="0.39370078740157483" header="0" footer="0"/>
  <pageSetup scale="36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L34"/>
  <sheetViews>
    <sheetView rightToLeft="1" view="pageBreakPreview" zoomScale="96" zoomScaleNormal="100" zoomScaleSheetLayoutView="96" workbookViewId="0">
      <selection activeCell="L11" sqref="L11"/>
    </sheetView>
  </sheetViews>
  <sheetFormatPr defaultRowHeight="12.75"/>
  <cols>
    <col min="1" max="1" width="44" bestFit="1" customWidth="1"/>
    <col min="2" max="2" width="11" bestFit="1" customWidth="1"/>
    <col min="3" max="3" width="1.28515625" customWidth="1"/>
    <col min="4" max="4" width="14.28515625" bestFit="1" customWidth="1"/>
    <col min="5" max="5" width="1.28515625" customWidth="1"/>
    <col min="6" max="6" width="11.42578125" bestFit="1" customWidth="1"/>
    <col min="7" max="7" width="1.28515625" customWidth="1"/>
    <col min="8" max="8" width="11.42578125" bestFit="1" customWidth="1"/>
    <col min="9" max="9" width="1.28515625" customWidth="1"/>
    <col min="10" max="10" width="15.7109375" bestFit="1" customWidth="1"/>
    <col min="11" max="11" width="1.28515625" customWidth="1"/>
    <col min="12" max="12" width="16.85546875" bestFit="1" customWidth="1"/>
    <col min="13" max="13" width="0.28515625" customWidth="1"/>
  </cols>
  <sheetData>
    <row r="1" spans="1:12" ht="29.1" customHeight="1">
      <c r="A1" s="109" t="str">
        <f>سهام!A1</f>
        <v>صندوق سرمایه‌گذاری افق دماوند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ht="21.75" customHeight="1">
      <c r="A2" s="109" t="s">
        <v>57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21.75" customHeight="1">
      <c r="A3" s="109" t="str">
        <f>سهام!A3</f>
        <v>برای ماه منتهی به 1405/04/31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ht="7.35" customHeight="1"/>
    <row r="5" spans="1:12" ht="14.45" customHeight="1">
      <c r="A5" s="26" t="s">
        <v>107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7.35" customHeight="1"/>
    <row r="7" spans="1:12" ht="14.45" customHeight="1">
      <c r="B7" s="111" t="s">
        <v>72</v>
      </c>
      <c r="C7" s="111"/>
      <c r="D7" s="111"/>
      <c r="E7" s="111"/>
      <c r="F7" s="111"/>
      <c r="G7" s="111"/>
      <c r="H7" s="111"/>
      <c r="I7" s="111"/>
      <c r="J7" s="111"/>
      <c r="L7" s="2" t="s">
        <v>73</v>
      </c>
    </row>
    <row r="8" spans="1:12" ht="29.1" customHeight="1">
      <c r="A8" s="2" t="s">
        <v>108</v>
      </c>
      <c r="B8" s="8" t="s">
        <v>39</v>
      </c>
      <c r="C8" s="3"/>
      <c r="D8" s="8" t="s">
        <v>5</v>
      </c>
      <c r="E8" s="3"/>
      <c r="F8" s="8" t="s">
        <v>109</v>
      </c>
      <c r="G8" s="3"/>
      <c r="H8" s="8" t="s">
        <v>110</v>
      </c>
      <c r="I8" s="3"/>
      <c r="J8" s="8" t="s">
        <v>111</v>
      </c>
      <c r="L8" s="8" t="s">
        <v>111</v>
      </c>
    </row>
    <row r="9" spans="1:12" ht="29.1" customHeight="1">
      <c r="A9" s="6" t="s">
        <v>186</v>
      </c>
      <c r="B9" s="77" t="s">
        <v>191</v>
      </c>
      <c r="D9" s="77">
        <v>8000000</v>
      </c>
      <c r="E9" s="77"/>
      <c r="F9" s="77">
        <v>1173665</v>
      </c>
      <c r="G9" s="77"/>
      <c r="H9" s="77">
        <v>0</v>
      </c>
      <c r="I9" s="77"/>
      <c r="J9" s="77">
        <v>1682096085</v>
      </c>
      <c r="K9" s="77"/>
      <c r="L9" s="77">
        <v>1682096085</v>
      </c>
    </row>
    <row r="10" spans="1:12" ht="29.1" customHeight="1">
      <c r="A10" s="6" t="s">
        <v>187</v>
      </c>
      <c r="B10" s="77" t="s">
        <v>209</v>
      </c>
      <c r="D10" s="77">
        <v>1439000</v>
      </c>
      <c r="E10" s="77"/>
      <c r="F10" s="77">
        <v>339210</v>
      </c>
      <c r="G10" s="77"/>
      <c r="H10" s="77">
        <v>0</v>
      </c>
      <c r="I10" s="77"/>
      <c r="J10" s="77">
        <v>-63576171</v>
      </c>
      <c r="K10" s="77"/>
      <c r="L10" s="77">
        <v>-63576171</v>
      </c>
    </row>
    <row r="11" spans="1:12" ht="29.1" customHeight="1">
      <c r="A11" s="6" t="s">
        <v>143</v>
      </c>
      <c r="B11" s="77" t="s">
        <v>139</v>
      </c>
      <c r="D11" s="77">
        <v>0</v>
      </c>
      <c r="E11" s="77"/>
      <c r="F11" s="77">
        <v>0</v>
      </c>
      <c r="G11" s="77"/>
      <c r="H11" s="77">
        <v>0</v>
      </c>
      <c r="I11" s="77"/>
      <c r="J11" s="77">
        <v>0</v>
      </c>
      <c r="K11" s="77"/>
      <c r="L11" s="77">
        <v>860979948</v>
      </c>
    </row>
    <row r="12" spans="1:12" ht="29.1" customHeight="1">
      <c r="A12" s="6" t="s">
        <v>207</v>
      </c>
      <c r="B12" s="77" t="s">
        <v>205</v>
      </c>
      <c r="D12" s="77">
        <v>0</v>
      </c>
      <c r="E12" s="77"/>
      <c r="F12" s="77">
        <v>0</v>
      </c>
      <c r="G12" s="77"/>
      <c r="H12" s="77">
        <v>0</v>
      </c>
      <c r="I12" s="77"/>
      <c r="J12" s="77">
        <v>0</v>
      </c>
      <c r="K12" s="77"/>
      <c r="L12" s="77">
        <v>25012631</v>
      </c>
    </row>
    <row r="13" spans="1:12" ht="29.1" customHeight="1">
      <c r="A13" s="6" t="s">
        <v>194</v>
      </c>
      <c r="B13" s="77" t="s">
        <v>208</v>
      </c>
      <c r="D13" s="77">
        <v>0</v>
      </c>
      <c r="E13" s="77"/>
      <c r="F13" s="77">
        <v>0</v>
      </c>
      <c r="G13" s="77"/>
      <c r="H13" s="77">
        <v>0</v>
      </c>
      <c r="I13" s="77"/>
      <c r="J13" s="77">
        <v>0</v>
      </c>
      <c r="K13" s="77"/>
      <c r="L13" s="77">
        <v>610784507</v>
      </c>
    </row>
    <row r="14" spans="1:12" ht="29.1" customHeight="1">
      <c r="A14" s="6" t="s">
        <v>190</v>
      </c>
      <c r="B14" s="77" t="s">
        <v>193</v>
      </c>
      <c r="D14" s="77">
        <v>0</v>
      </c>
      <c r="E14" s="77"/>
      <c r="F14" s="77">
        <v>0</v>
      </c>
      <c r="G14" s="77"/>
      <c r="H14" s="77">
        <v>0</v>
      </c>
      <c r="I14" s="77"/>
      <c r="J14" s="77">
        <v>0</v>
      </c>
      <c r="K14" s="77"/>
      <c r="L14" s="77">
        <v>120732330</v>
      </c>
    </row>
    <row r="15" spans="1:12" ht="21.75" customHeight="1" thickBot="1">
      <c r="D15" s="24"/>
      <c r="F15" s="48">
        <f>SUM(F9:F14)</f>
        <v>1512875</v>
      </c>
      <c r="H15" s="48">
        <f>SUM(H9:H14)</f>
        <v>0</v>
      </c>
      <c r="J15" s="48">
        <f>SUM(J9:J14)</f>
        <v>1618519914</v>
      </c>
      <c r="L15" s="48">
        <f>SUM(L9:L14)</f>
        <v>3236029330</v>
      </c>
    </row>
    <row r="16" spans="1:12" ht="21.75" customHeight="1" thickTop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</sheetData>
  <mergeCells count="4">
    <mergeCell ref="B7:J7"/>
    <mergeCell ref="A1:L1"/>
    <mergeCell ref="A2:L2"/>
    <mergeCell ref="A3:L3"/>
  </mergeCells>
  <phoneticPr fontId="22" type="noConversion"/>
  <conditionalFormatting sqref="A1:A1048576">
    <cfRule type="duplicateValues" dxfId="5" priority="6"/>
  </conditionalFormatting>
  <conditionalFormatting sqref="D15">
    <cfRule type="duplicateValues" dxfId="4" priority="1"/>
  </conditionalFormatting>
  <conditionalFormatting sqref="F15">
    <cfRule type="duplicateValues" dxfId="3" priority="2"/>
  </conditionalFormatting>
  <conditionalFormatting sqref="H15">
    <cfRule type="duplicateValues" dxfId="2" priority="3"/>
  </conditionalFormatting>
  <conditionalFormatting sqref="J15">
    <cfRule type="duplicateValues" dxfId="1" priority="4"/>
  </conditionalFormatting>
  <conditionalFormatting sqref="L1:L1048576">
    <cfRule type="duplicateValues" dxfId="0" priority="5"/>
  </conditionalFormatting>
  <pageMargins left="0.39" right="0.39" top="0.39" bottom="0.39" header="0" footer="0"/>
  <pageSetup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S67"/>
  <sheetViews>
    <sheetView rightToLeft="1" tabSelected="1" view="pageBreakPreview" topLeftCell="A49" zoomScaleNormal="100" zoomScaleSheetLayoutView="100" workbookViewId="0">
      <selection activeCell="Q64" sqref="I64:Q66"/>
    </sheetView>
  </sheetViews>
  <sheetFormatPr defaultRowHeight="12.75"/>
  <cols>
    <col min="1" max="1" width="29.7109375" bestFit="1" customWidth="1"/>
    <col min="2" max="2" width="1.28515625" customWidth="1"/>
    <col min="3" max="3" width="12.85546875" bestFit="1" customWidth="1"/>
    <col min="4" max="4" width="1.28515625" customWidth="1"/>
    <col min="5" max="5" width="18.5703125" bestFit="1" customWidth="1"/>
    <col min="6" max="6" width="1.28515625" customWidth="1"/>
    <col min="7" max="7" width="18.5703125" bestFit="1" customWidth="1"/>
    <col min="8" max="8" width="1.28515625" customWidth="1"/>
    <col min="9" max="9" width="26.28515625" bestFit="1" customWidth="1"/>
    <col min="10" max="10" width="1.28515625" customWidth="1"/>
    <col min="11" max="11" width="12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26.28515625" bestFit="1" customWidth="1"/>
    <col min="18" max="18" width="15.42578125" bestFit="1" customWidth="1"/>
    <col min="19" max="19" width="15" bestFit="1" customWidth="1"/>
    <col min="20" max="20" width="12" bestFit="1" customWidth="1"/>
  </cols>
  <sheetData>
    <row r="1" spans="1:19" ht="29.1" customHeight="1">
      <c r="A1" s="109" t="str">
        <f>سهام!A1</f>
        <v>صندوق سرمایه‌گذاری افق دماوند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9" ht="21.75" customHeight="1">
      <c r="A2" s="109" t="s">
        <v>57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9" ht="21.75" customHeight="1">
      <c r="A3" s="109" t="str">
        <f>سهام!A3</f>
        <v>برای ماه منتهی به 1405/04/31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19" ht="14.45" customHeight="1"/>
    <row r="5" spans="1:19" ht="14.45" customHeight="1">
      <c r="A5" s="113" t="s">
        <v>112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</row>
    <row r="6" spans="1:19" ht="14.45" customHeight="1">
      <c r="A6" s="111" t="s">
        <v>60</v>
      </c>
      <c r="C6" s="111" t="s">
        <v>72</v>
      </c>
      <c r="D6" s="111"/>
      <c r="E6" s="111"/>
      <c r="F6" s="111"/>
      <c r="G6" s="111"/>
      <c r="H6" s="111"/>
      <c r="I6" s="111"/>
      <c r="K6" s="111" t="s">
        <v>73</v>
      </c>
      <c r="L6" s="111"/>
      <c r="M6" s="111"/>
      <c r="N6" s="111"/>
      <c r="O6" s="111"/>
      <c r="P6" s="111"/>
      <c r="Q6" s="111"/>
    </row>
    <row r="7" spans="1:19" ht="29.1" customHeight="1">
      <c r="A7" s="111"/>
      <c r="C7" s="8" t="s">
        <v>5</v>
      </c>
      <c r="D7" s="3"/>
      <c r="E7" s="8" t="s">
        <v>7</v>
      </c>
      <c r="F7" s="3"/>
      <c r="G7" s="8" t="s">
        <v>105</v>
      </c>
      <c r="H7" s="3"/>
      <c r="I7" s="8" t="s">
        <v>113</v>
      </c>
      <c r="K7" s="8" t="s">
        <v>5</v>
      </c>
      <c r="L7" s="3"/>
      <c r="M7" s="8" t="s">
        <v>7</v>
      </c>
      <c r="N7" s="3"/>
      <c r="O7" s="8" t="s">
        <v>105</v>
      </c>
      <c r="P7" s="3"/>
      <c r="Q7" s="8" t="s">
        <v>113</v>
      </c>
    </row>
    <row r="8" spans="1:19" ht="21.75" customHeight="1">
      <c r="A8" s="5" t="s">
        <v>24</v>
      </c>
      <c r="C8" s="49">
        <v>198243</v>
      </c>
      <c r="D8" s="45"/>
      <c r="E8" s="49">
        <v>7917600909</v>
      </c>
      <c r="F8" s="45"/>
      <c r="G8" s="49">
        <v>8517568183</v>
      </c>
      <c r="H8" s="45"/>
      <c r="I8" s="50">
        <f>E8-G8</f>
        <v>-599967274</v>
      </c>
      <c r="J8" s="45"/>
      <c r="K8" s="49">
        <v>198243</v>
      </c>
      <c r="L8" s="45"/>
      <c r="M8" s="49">
        <v>7917600909</v>
      </c>
      <c r="N8" s="45"/>
      <c r="O8" s="49">
        <v>7451396831</v>
      </c>
      <c r="P8" s="45"/>
      <c r="Q8" s="50">
        <f>M8-O8</f>
        <v>466204078</v>
      </c>
      <c r="R8" s="47"/>
      <c r="S8" s="47"/>
    </row>
    <row r="9" spans="1:19" ht="21.75" customHeight="1">
      <c r="A9" s="6" t="s">
        <v>29</v>
      </c>
      <c r="C9" s="50">
        <v>8628591</v>
      </c>
      <c r="D9" s="45"/>
      <c r="E9" s="50">
        <v>37415468003</v>
      </c>
      <c r="F9" s="45"/>
      <c r="G9" s="50">
        <v>32946160383</v>
      </c>
      <c r="H9" s="45"/>
      <c r="I9" s="50">
        <f t="shared" ref="I9:I54" si="0">E9-G9</f>
        <v>4469307620</v>
      </c>
      <c r="J9" s="45"/>
      <c r="K9" s="50">
        <v>8628591</v>
      </c>
      <c r="L9" s="45"/>
      <c r="M9" s="50">
        <v>37415468003</v>
      </c>
      <c r="N9" s="45"/>
      <c r="O9" s="50">
        <v>24058916496</v>
      </c>
      <c r="P9" s="45"/>
      <c r="Q9" s="50">
        <f t="shared" ref="Q9:Q54" si="1">M9-O9</f>
        <v>13356551507</v>
      </c>
      <c r="R9" s="47"/>
      <c r="S9" s="47"/>
    </row>
    <row r="10" spans="1:19" ht="21.75" customHeight="1">
      <c r="A10" s="6" t="s">
        <v>211</v>
      </c>
      <c r="C10" s="50">
        <v>11520000</v>
      </c>
      <c r="D10" s="45"/>
      <c r="E10" s="50">
        <v>170618365670</v>
      </c>
      <c r="F10" s="45"/>
      <c r="G10" s="50">
        <v>183954950760</v>
      </c>
      <c r="H10" s="45"/>
      <c r="I10" s="50">
        <f t="shared" si="0"/>
        <v>-13336585090</v>
      </c>
      <c r="J10" s="45"/>
      <c r="K10" s="50">
        <v>11520000</v>
      </c>
      <c r="L10" s="45"/>
      <c r="M10" s="50">
        <v>170618365670</v>
      </c>
      <c r="N10" s="45"/>
      <c r="O10" s="50">
        <v>160352042162</v>
      </c>
      <c r="P10" s="45"/>
      <c r="Q10" s="50">
        <f t="shared" si="1"/>
        <v>10266323508</v>
      </c>
      <c r="R10" s="47"/>
      <c r="S10" s="47"/>
    </row>
    <row r="11" spans="1:19" ht="21.75" customHeight="1">
      <c r="A11" s="6" t="s">
        <v>17</v>
      </c>
      <c r="C11" s="50">
        <v>1019446</v>
      </c>
      <c r="D11" s="45"/>
      <c r="E11" s="50">
        <v>62120248557</v>
      </c>
      <c r="F11" s="45"/>
      <c r="G11" s="50">
        <v>69646297234</v>
      </c>
      <c r="H11" s="45"/>
      <c r="I11" s="50">
        <f t="shared" si="0"/>
        <v>-7526048677</v>
      </c>
      <c r="J11" s="45"/>
      <c r="K11" s="50">
        <v>1019446</v>
      </c>
      <c r="L11" s="45"/>
      <c r="M11" s="50">
        <v>62120248557</v>
      </c>
      <c r="N11" s="45"/>
      <c r="O11" s="50">
        <v>61432383893</v>
      </c>
      <c r="P11" s="45"/>
      <c r="Q11" s="50">
        <f t="shared" si="1"/>
        <v>687864664</v>
      </c>
      <c r="R11" s="47"/>
      <c r="S11" s="47"/>
    </row>
    <row r="12" spans="1:19" ht="21.75" customHeight="1">
      <c r="A12" s="6" t="s">
        <v>182</v>
      </c>
      <c r="C12" s="50">
        <v>30000</v>
      </c>
      <c r="D12" s="45"/>
      <c r="E12" s="50">
        <v>3741850170</v>
      </c>
      <c r="F12" s="45"/>
      <c r="G12" s="50">
        <v>3600566424</v>
      </c>
      <c r="H12" s="45"/>
      <c r="I12" s="50">
        <f t="shared" si="0"/>
        <v>141283746</v>
      </c>
      <c r="J12" s="45"/>
      <c r="K12" s="50">
        <v>30000</v>
      </c>
      <c r="L12" s="45"/>
      <c r="M12" s="50">
        <v>3741850170</v>
      </c>
      <c r="N12" s="45"/>
      <c r="O12" s="50">
        <v>3600566424</v>
      </c>
      <c r="P12" s="45"/>
      <c r="Q12" s="50">
        <f t="shared" si="1"/>
        <v>141283746</v>
      </c>
      <c r="R12" s="47"/>
      <c r="S12" s="47"/>
    </row>
    <row r="13" spans="1:19" ht="21.75" customHeight="1">
      <c r="A13" s="6" t="s">
        <v>22</v>
      </c>
      <c r="C13" s="50">
        <v>375619</v>
      </c>
      <c r="D13" s="45"/>
      <c r="E13" s="50">
        <v>1830032933</v>
      </c>
      <c r="F13" s="45"/>
      <c r="G13" s="50">
        <v>1736854067</v>
      </c>
      <c r="H13" s="45"/>
      <c r="I13" s="50">
        <f t="shared" si="0"/>
        <v>93178866</v>
      </c>
      <c r="J13" s="45"/>
      <c r="K13" s="50">
        <v>375619</v>
      </c>
      <c r="L13" s="45"/>
      <c r="M13" s="50">
        <v>1830032933</v>
      </c>
      <c r="N13" s="45"/>
      <c r="O13" s="50">
        <v>1549378188</v>
      </c>
      <c r="P13" s="45"/>
      <c r="Q13" s="50">
        <f t="shared" si="1"/>
        <v>280654745</v>
      </c>
      <c r="R13" s="47"/>
      <c r="S13" s="47"/>
    </row>
    <row r="14" spans="1:19" ht="21.75" customHeight="1">
      <c r="A14" s="6" t="s">
        <v>33</v>
      </c>
      <c r="C14" s="50">
        <v>1043418</v>
      </c>
      <c r="D14" s="50"/>
      <c r="E14" s="50">
        <v>19537099389</v>
      </c>
      <c r="F14" s="50"/>
      <c r="G14" s="50">
        <v>19775230436</v>
      </c>
      <c r="H14" s="50"/>
      <c r="I14" s="50">
        <f t="shared" si="0"/>
        <v>-238131047</v>
      </c>
      <c r="J14" s="50"/>
      <c r="K14" s="50">
        <v>1043418</v>
      </c>
      <c r="L14" s="50"/>
      <c r="M14" s="50">
        <v>19537099389</v>
      </c>
      <c r="N14" s="50"/>
      <c r="O14" s="50">
        <v>12724480736</v>
      </c>
      <c r="P14" s="50"/>
      <c r="Q14" s="50">
        <f t="shared" si="1"/>
        <v>6812618653</v>
      </c>
      <c r="R14" s="47"/>
      <c r="S14" s="47"/>
    </row>
    <row r="15" spans="1:19" ht="21.75" customHeight="1">
      <c r="A15" s="6" t="s">
        <v>173</v>
      </c>
      <c r="C15" s="50">
        <v>829410</v>
      </c>
      <c r="D15" s="50"/>
      <c r="E15" s="50">
        <v>7752647383</v>
      </c>
      <c r="F15" s="50"/>
      <c r="G15" s="50">
        <v>26120578253</v>
      </c>
      <c r="H15" s="50"/>
      <c r="I15" s="50">
        <f t="shared" si="0"/>
        <v>-18367930870</v>
      </c>
      <c r="J15" s="50"/>
      <c r="K15" s="50">
        <v>829410</v>
      </c>
      <c r="L15" s="50"/>
      <c r="M15" s="50">
        <v>7752647383</v>
      </c>
      <c r="N15" s="50"/>
      <c r="O15" s="50">
        <v>5828121406</v>
      </c>
      <c r="P15" s="50"/>
      <c r="Q15" s="50">
        <f t="shared" si="1"/>
        <v>1924525977</v>
      </c>
      <c r="R15" s="47"/>
      <c r="S15" s="47"/>
    </row>
    <row r="16" spans="1:19" ht="21.75" customHeight="1">
      <c r="A16" s="6" t="s">
        <v>14</v>
      </c>
      <c r="B16" s="6"/>
      <c r="C16" s="50">
        <v>2983927</v>
      </c>
      <c r="D16" s="50"/>
      <c r="E16" s="50">
        <v>13294266986</v>
      </c>
      <c r="F16" s="50"/>
      <c r="G16" s="50">
        <v>13688061532</v>
      </c>
      <c r="H16" s="50"/>
      <c r="I16" s="50">
        <f t="shared" si="0"/>
        <v>-393794546</v>
      </c>
      <c r="J16" s="50"/>
      <c r="K16" s="50">
        <v>2983927</v>
      </c>
      <c r="L16" s="50"/>
      <c r="M16" s="50">
        <v>13294266986</v>
      </c>
      <c r="N16" s="50"/>
      <c r="O16" s="50">
        <v>12169139714</v>
      </c>
      <c r="P16" s="50"/>
      <c r="Q16" s="50">
        <f t="shared" si="1"/>
        <v>1125127272</v>
      </c>
      <c r="R16" s="47"/>
      <c r="S16" s="47"/>
    </row>
    <row r="17" spans="1:19" ht="21.75" customHeight="1">
      <c r="A17" s="6" t="s">
        <v>16</v>
      </c>
      <c r="B17" s="6"/>
      <c r="C17" s="50">
        <v>138131</v>
      </c>
      <c r="D17" s="50"/>
      <c r="E17" s="50">
        <v>12679721014</v>
      </c>
      <c r="F17" s="50"/>
      <c r="G17" s="50">
        <v>12679721014</v>
      </c>
      <c r="H17" s="50"/>
      <c r="I17" s="50">
        <f t="shared" si="0"/>
        <v>0</v>
      </c>
      <c r="J17" s="50"/>
      <c r="K17" s="50">
        <v>138131</v>
      </c>
      <c r="L17" s="50"/>
      <c r="M17" s="50">
        <v>12679721014</v>
      </c>
      <c r="N17" s="50"/>
      <c r="O17" s="50">
        <v>13707695369</v>
      </c>
      <c r="P17" s="50"/>
      <c r="Q17" s="50">
        <f t="shared" si="1"/>
        <v>-1027974355</v>
      </c>
      <c r="R17" s="47"/>
      <c r="S17" s="47"/>
    </row>
    <row r="18" spans="1:19" ht="21.75" customHeight="1">
      <c r="A18" s="6" t="s">
        <v>150</v>
      </c>
      <c r="B18" s="6"/>
      <c r="C18" s="50">
        <v>3373729</v>
      </c>
      <c r="D18" s="50"/>
      <c r="E18" s="50">
        <v>60090318843</v>
      </c>
      <c r="F18" s="50"/>
      <c r="G18" s="50">
        <v>50500608626</v>
      </c>
      <c r="H18" s="50"/>
      <c r="I18" s="50">
        <f t="shared" si="0"/>
        <v>9589710217</v>
      </c>
      <c r="J18" s="50"/>
      <c r="K18" s="50">
        <v>3373729</v>
      </c>
      <c r="L18" s="50"/>
      <c r="M18" s="50">
        <v>60090318843</v>
      </c>
      <c r="N18" s="50"/>
      <c r="O18" s="50">
        <v>37744429782</v>
      </c>
      <c r="P18" s="50"/>
      <c r="Q18" s="50">
        <f t="shared" si="1"/>
        <v>22345889061</v>
      </c>
      <c r="R18" s="47"/>
      <c r="S18" s="47"/>
    </row>
    <row r="19" spans="1:19" ht="21.75" customHeight="1">
      <c r="A19" s="6" t="s">
        <v>181</v>
      </c>
      <c r="C19" s="50">
        <v>1500000</v>
      </c>
      <c r="D19" s="50"/>
      <c r="E19" s="50">
        <v>6906199200</v>
      </c>
      <c r="F19" s="50"/>
      <c r="G19" s="50">
        <v>6346863120</v>
      </c>
      <c r="H19" s="50"/>
      <c r="I19" s="50">
        <f t="shared" si="0"/>
        <v>559336080</v>
      </c>
      <c r="J19" s="50"/>
      <c r="K19" s="50">
        <v>1500000</v>
      </c>
      <c r="L19" s="50"/>
      <c r="M19" s="50">
        <v>6906199200</v>
      </c>
      <c r="N19" s="50"/>
      <c r="O19" s="50">
        <v>6346863120</v>
      </c>
      <c r="P19" s="50"/>
      <c r="Q19" s="50">
        <f t="shared" si="1"/>
        <v>559336080</v>
      </c>
      <c r="R19" s="47"/>
      <c r="S19" s="47"/>
    </row>
    <row r="20" spans="1:19" ht="21.75" customHeight="1">
      <c r="A20" s="6" t="s">
        <v>34</v>
      </c>
      <c r="C20" s="50">
        <v>1761676</v>
      </c>
      <c r="D20" s="50"/>
      <c r="E20" s="50">
        <v>10995286358</v>
      </c>
      <c r="F20" s="50"/>
      <c r="G20" s="50">
        <v>13407606735</v>
      </c>
      <c r="H20" s="50"/>
      <c r="I20" s="50">
        <f t="shared" si="0"/>
        <v>-2412320377</v>
      </c>
      <c r="J20" s="50"/>
      <c r="K20" s="50">
        <v>1761676</v>
      </c>
      <c r="L20" s="50"/>
      <c r="M20" s="50">
        <v>10995286358</v>
      </c>
      <c r="N20" s="50"/>
      <c r="O20" s="50">
        <v>10855441698</v>
      </c>
      <c r="P20" s="50"/>
      <c r="Q20" s="50">
        <f t="shared" si="1"/>
        <v>139844660</v>
      </c>
      <c r="R20" s="47"/>
      <c r="S20" s="47"/>
    </row>
    <row r="21" spans="1:19" ht="21.75" customHeight="1">
      <c r="A21" s="6" t="s">
        <v>31</v>
      </c>
      <c r="C21" s="50">
        <v>1200000</v>
      </c>
      <c r="D21" s="45"/>
      <c r="E21" s="50">
        <v>34566717720</v>
      </c>
      <c r="F21" s="45"/>
      <c r="G21" s="50">
        <v>31982846640</v>
      </c>
      <c r="H21" s="45"/>
      <c r="I21" s="50">
        <f t="shared" si="0"/>
        <v>2583871080</v>
      </c>
      <c r="J21" s="45"/>
      <c r="K21" s="50">
        <v>1200000</v>
      </c>
      <c r="L21" s="45"/>
      <c r="M21" s="50">
        <v>34566717720</v>
      </c>
      <c r="N21" s="45"/>
      <c r="O21" s="50">
        <v>20766226560</v>
      </c>
      <c r="P21" s="45"/>
      <c r="Q21" s="50">
        <f t="shared" si="1"/>
        <v>13800491160</v>
      </c>
      <c r="R21" s="47"/>
      <c r="S21" s="47"/>
    </row>
    <row r="22" spans="1:19" ht="21.75" customHeight="1">
      <c r="A22" s="6" t="s">
        <v>171</v>
      </c>
      <c r="C22" s="50">
        <v>39961000</v>
      </c>
      <c r="D22" s="45"/>
      <c r="E22" s="50">
        <v>25416997042</v>
      </c>
      <c r="F22" s="45"/>
      <c r="G22" s="50">
        <v>27558210521</v>
      </c>
      <c r="H22" s="45"/>
      <c r="I22" s="50">
        <f t="shared" si="0"/>
        <v>-2141213479</v>
      </c>
      <c r="J22" s="45"/>
      <c r="K22" s="50">
        <v>39961000</v>
      </c>
      <c r="L22" s="45"/>
      <c r="M22" s="50">
        <v>25416997042</v>
      </c>
      <c r="N22" s="45"/>
      <c r="O22" s="50">
        <v>25107496300</v>
      </c>
      <c r="P22" s="45"/>
      <c r="Q22" s="50">
        <f t="shared" si="1"/>
        <v>309500742</v>
      </c>
      <c r="R22" s="47"/>
      <c r="S22" s="47"/>
    </row>
    <row r="23" spans="1:19" ht="21.75" customHeight="1">
      <c r="A23" s="6" t="s">
        <v>28</v>
      </c>
      <c r="C23" s="50">
        <v>10729785</v>
      </c>
      <c r="D23" s="45"/>
      <c r="E23" s="50">
        <v>249242612467</v>
      </c>
      <c r="F23" s="45"/>
      <c r="G23" s="50">
        <v>308069732730</v>
      </c>
      <c r="H23" s="45"/>
      <c r="I23" s="50">
        <f t="shared" si="0"/>
        <v>-58827120263</v>
      </c>
      <c r="J23" s="45"/>
      <c r="K23" s="50">
        <v>10729785</v>
      </c>
      <c r="L23" s="45"/>
      <c r="M23" s="50">
        <v>249242612467</v>
      </c>
      <c r="N23" s="45"/>
      <c r="O23" s="50">
        <v>287799856586</v>
      </c>
      <c r="P23" s="45"/>
      <c r="Q23" s="50">
        <f t="shared" si="1"/>
        <v>-38557244119</v>
      </c>
      <c r="R23" s="47"/>
      <c r="S23" s="47"/>
    </row>
    <row r="24" spans="1:19" ht="21.75" customHeight="1">
      <c r="A24" s="6" t="s">
        <v>210</v>
      </c>
      <c r="C24" s="50">
        <v>1400000</v>
      </c>
      <c r="D24" s="45"/>
      <c r="E24" s="50">
        <v>15392092240</v>
      </c>
      <c r="F24" s="45"/>
      <c r="G24" s="50">
        <v>16100573020</v>
      </c>
      <c r="H24" s="45"/>
      <c r="I24" s="50">
        <f t="shared" si="0"/>
        <v>-708480780</v>
      </c>
      <c r="J24" s="45"/>
      <c r="K24" s="50">
        <v>1400000</v>
      </c>
      <c r="L24" s="45"/>
      <c r="M24" s="50">
        <v>15392092240</v>
      </c>
      <c r="N24" s="45"/>
      <c r="O24" s="50">
        <v>12244532722</v>
      </c>
      <c r="P24" s="45"/>
      <c r="Q24" s="50">
        <f t="shared" si="1"/>
        <v>3147559518</v>
      </c>
      <c r="R24" s="47"/>
      <c r="S24" s="47"/>
    </row>
    <row r="25" spans="1:19" ht="21.75" customHeight="1">
      <c r="A25" s="6" t="s">
        <v>12</v>
      </c>
      <c r="C25" s="50">
        <v>16192687</v>
      </c>
      <c r="D25" s="45"/>
      <c r="E25" s="50">
        <v>168226908533</v>
      </c>
      <c r="F25" s="45"/>
      <c r="G25" s="50">
        <v>207592326481</v>
      </c>
      <c r="H25" s="45"/>
      <c r="I25" s="50">
        <f t="shared" si="0"/>
        <v>-39365417948</v>
      </c>
      <c r="J25" s="45"/>
      <c r="K25" s="50">
        <v>16192687</v>
      </c>
      <c r="L25" s="45"/>
      <c r="M25" s="50">
        <v>168226908533</v>
      </c>
      <c r="N25" s="45"/>
      <c r="O25" s="50">
        <v>209391888460</v>
      </c>
      <c r="P25" s="45"/>
      <c r="Q25" s="50">
        <f t="shared" si="1"/>
        <v>-41164979927</v>
      </c>
      <c r="R25" s="47"/>
      <c r="S25" s="47"/>
    </row>
    <row r="26" spans="1:19" ht="21.75" customHeight="1">
      <c r="A26" s="6" t="s">
        <v>135</v>
      </c>
      <c r="C26" s="50">
        <v>251585</v>
      </c>
      <c r="D26" s="45"/>
      <c r="E26" s="50">
        <v>12539429654</v>
      </c>
      <c r="F26" s="45"/>
      <c r="G26" s="50">
        <v>14429206331</v>
      </c>
      <c r="H26" s="45"/>
      <c r="I26" s="50">
        <f t="shared" si="0"/>
        <v>-1889776677</v>
      </c>
      <c r="J26" s="45"/>
      <c r="K26" s="50">
        <v>251585</v>
      </c>
      <c r="L26" s="45"/>
      <c r="M26" s="50">
        <v>12539429654</v>
      </c>
      <c r="N26" s="45"/>
      <c r="O26" s="50">
        <v>12344710247</v>
      </c>
      <c r="P26" s="45"/>
      <c r="Q26" s="50">
        <f t="shared" si="1"/>
        <v>194719407</v>
      </c>
      <c r="R26" s="47"/>
      <c r="S26" s="47"/>
    </row>
    <row r="27" spans="1:19" ht="21.75" customHeight="1">
      <c r="A27" s="6" t="s">
        <v>23</v>
      </c>
      <c r="C27" s="50">
        <v>6416569</v>
      </c>
      <c r="D27" s="45"/>
      <c r="E27" s="50">
        <v>171398803370</v>
      </c>
      <c r="F27" s="45"/>
      <c r="G27" s="50">
        <v>165910788023</v>
      </c>
      <c r="H27" s="45"/>
      <c r="I27" s="50">
        <f t="shared" si="0"/>
        <v>5488015347</v>
      </c>
      <c r="J27" s="45"/>
      <c r="K27" s="50">
        <v>6416569</v>
      </c>
      <c r="L27" s="45"/>
      <c r="M27" s="50">
        <v>171398803370</v>
      </c>
      <c r="N27" s="45"/>
      <c r="O27" s="50">
        <v>125187099560</v>
      </c>
      <c r="P27" s="45"/>
      <c r="Q27" s="50">
        <f t="shared" si="1"/>
        <v>46211703810</v>
      </c>
      <c r="R27" s="47"/>
      <c r="S27" s="47"/>
    </row>
    <row r="28" spans="1:19" ht="21.75" customHeight="1">
      <c r="A28" s="6" t="s">
        <v>25</v>
      </c>
      <c r="C28" s="50">
        <v>31498068</v>
      </c>
      <c r="D28" s="45"/>
      <c r="E28" s="50">
        <v>325047714517</v>
      </c>
      <c r="F28" s="45"/>
      <c r="G28" s="50">
        <v>394601700658</v>
      </c>
      <c r="H28" s="45"/>
      <c r="I28" s="50">
        <f t="shared" si="0"/>
        <v>-69553986141</v>
      </c>
      <c r="J28" s="45"/>
      <c r="K28" s="50">
        <v>31498068</v>
      </c>
      <c r="L28" s="45"/>
      <c r="M28" s="50">
        <v>325047714517</v>
      </c>
      <c r="N28" s="45"/>
      <c r="O28" s="50">
        <v>328173173384</v>
      </c>
      <c r="P28" s="45"/>
      <c r="Q28" s="50">
        <f t="shared" si="1"/>
        <v>-3125458867</v>
      </c>
      <c r="R28" s="47"/>
      <c r="S28" s="47"/>
    </row>
    <row r="29" spans="1:19" ht="21.75" customHeight="1">
      <c r="A29" s="6" t="s">
        <v>19</v>
      </c>
      <c r="C29" s="50">
        <v>6054099</v>
      </c>
      <c r="D29" s="45"/>
      <c r="E29" s="50">
        <v>50100888794</v>
      </c>
      <c r="F29" s="45"/>
      <c r="G29" s="50">
        <v>70105200507</v>
      </c>
      <c r="H29" s="45"/>
      <c r="I29" s="50">
        <f t="shared" si="0"/>
        <v>-20004311713</v>
      </c>
      <c r="J29" s="45"/>
      <c r="K29" s="50">
        <v>6054099</v>
      </c>
      <c r="L29" s="45"/>
      <c r="M29" s="50">
        <v>50100888794</v>
      </c>
      <c r="N29" s="45"/>
      <c r="O29" s="50">
        <v>60793884245</v>
      </c>
      <c r="P29" s="45"/>
      <c r="Q29" s="50">
        <f t="shared" si="1"/>
        <v>-10692995451</v>
      </c>
      <c r="R29" s="47"/>
      <c r="S29" s="47"/>
    </row>
    <row r="30" spans="1:19" ht="21.75" customHeight="1">
      <c r="A30" s="6" t="s">
        <v>21</v>
      </c>
      <c r="C30" s="50">
        <v>3144957</v>
      </c>
      <c r="D30" s="45"/>
      <c r="E30" s="50">
        <v>18723878894</v>
      </c>
      <c r="F30" s="45"/>
      <c r="G30" s="50">
        <v>22905545180</v>
      </c>
      <c r="H30" s="45"/>
      <c r="I30" s="50">
        <f t="shared" si="0"/>
        <v>-4181666286</v>
      </c>
      <c r="J30" s="45"/>
      <c r="K30" s="50">
        <v>3144957</v>
      </c>
      <c r="L30" s="45"/>
      <c r="M30" s="50">
        <v>18723878894</v>
      </c>
      <c r="N30" s="45"/>
      <c r="O30" s="50">
        <v>18865105706</v>
      </c>
      <c r="P30" s="45"/>
      <c r="Q30" s="50">
        <f t="shared" si="1"/>
        <v>-141226812</v>
      </c>
      <c r="R30" s="47"/>
      <c r="S30" s="47"/>
    </row>
    <row r="31" spans="1:19" ht="21.75" customHeight="1">
      <c r="A31" s="6" t="s">
        <v>27</v>
      </c>
      <c r="C31" s="50">
        <v>36955535</v>
      </c>
      <c r="D31" s="45"/>
      <c r="E31" s="50">
        <v>62778815239</v>
      </c>
      <c r="F31" s="45"/>
      <c r="G31" s="50">
        <v>65162356705</v>
      </c>
      <c r="H31" s="45"/>
      <c r="I31" s="50">
        <f t="shared" si="0"/>
        <v>-2383541466</v>
      </c>
      <c r="J31" s="45"/>
      <c r="K31" s="50">
        <v>36955535</v>
      </c>
      <c r="L31" s="45"/>
      <c r="M31" s="50">
        <v>62778815239</v>
      </c>
      <c r="N31" s="45"/>
      <c r="O31" s="50">
        <v>51667845018</v>
      </c>
      <c r="P31" s="45"/>
      <c r="Q31" s="50">
        <f t="shared" si="1"/>
        <v>11110970221</v>
      </c>
      <c r="R31" s="47"/>
      <c r="S31" s="47"/>
    </row>
    <row r="32" spans="1:19" ht="21.75" customHeight="1">
      <c r="A32" s="6" t="s">
        <v>183</v>
      </c>
      <c r="B32" s="6"/>
      <c r="C32" s="6">
        <v>1200000</v>
      </c>
      <c r="D32" s="45"/>
      <c r="E32" s="50">
        <v>8739914160</v>
      </c>
      <c r="F32" s="45"/>
      <c r="G32" s="50">
        <v>8013290658</v>
      </c>
      <c r="H32" s="45"/>
      <c r="I32" s="50">
        <f t="shared" si="0"/>
        <v>726623502</v>
      </c>
      <c r="J32" s="45"/>
      <c r="K32" s="50">
        <v>1200000</v>
      </c>
      <c r="L32" s="45"/>
      <c r="M32" s="50">
        <v>8739914160</v>
      </c>
      <c r="N32" s="45"/>
      <c r="O32" s="50">
        <v>8013290658</v>
      </c>
      <c r="P32" s="45"/>
      <c r="Q32" s="50">
        <f t="shared" si="1"/>
        <v>726623502</v>
      </c>
      <c r="R32" s="47"/>
      <c r="S32" s="47"/>
    </row>
    <row r="33" spans="1:19" ht="21.75" customHeight="1">
      <c r="A33" s="6" t="s">
        <v>184</v>
      </c>
      <c r="B33" s="6"/>
      <c r="C33" s="6">
        <v>300000</v>
      </c>
      <c r="D33" s="45"/>
      <c r="E33" s="50">
        <v>4947458220</v>
      </c>
      <c r="F33" s="45"/>
      <c r="G33" s="50">
        <v>4132032356</v>
      </c>
      <c r="H33" s="45"/>
      <c r="I33" s="50">
        <f t="shared" si="0"/>
        <v>815425864</v>
      </c>
      <c r="J33" s="45"/>
      <c r="K33" s="50">
        <v>300000</v>
      </c>
      <c r="L33" s="45"/>
      <c r="M33" s="50">
        <v>4947458220</v>
      </c>
      <c r="N33" s="45"/>
      <c r="O33" s="50">
        <v>4132032356</v>
      </c>
      <c r="P33" s="45"/>
      <c r="Q33" s="50">
        <f t="shared" si="1"/>
        <v>815425864</v>
      </c>
      <c r="R33" s="47"/>
      <c r="S33" s="47"/>
    </row>
    <row r="34" spans="1:19" ht="21.75" customHeight="1">
      <c r="A34" s="6" t="s">
        <v>30</v>
      </c>
      <c r="B34" s="6"/>
      <c r="C34" s="6">
        <v>392907</v>
      </c>
      <c r="D34" s="45"/>
      <c r="E34" s="50">
        <v>13290662466</v>
      </c>
      <c r="F34" s="45"/>
      <c r="G34" s="50">
        <v>10721420294</v>
      </c>
      <c r="H34" s="45"/>
      <c r="I34" s="50">
        <f t="shared" si="0"/>
        <v>2569242172</v>
      </c>
      <c r="J34" s="45"/>
      <c r="K34" s="50">
        <v>392907</v>
      </c>
      <c r="L34" s="45"/>
      <c r="M34" s="50">
        <v>13290662466</v>
      </c>
      <c r="N34" s="45"/>
      <c r="O34" s="50">
        <v>8343214338</v>
      </c>
      <c r="P34" s="45"/>
      <c r="Q34" s="50">
        <f t="shared" si="1"/>
        <v>4947448128</v>
      </c>
      <c r="R34" s="47"/>
      <c r="S34" s="47"/>
    </row>
    <row r="35" spans="1:19" ht="21.75" customHeight="1">
      <c r="A35" s="6" t="s">
        <v>15</v>
      </c>
      <c r="B35" s="6"/>
      <c r="C35" s="6">
        <v>2730605</v>
      </c>
      <c r="D35" s="45"/>
      <c r="E35" s="50">
        <v>130353921037</v>
      </c>
      <c r="F35" s="45"/>
      <c r="G35" s="50">
        <v>158912023879</v>
      </c>
      <c r="H35" s="45"/>
      <c r="I35" s="50">
        <f t="shared" si="0"/>
        <v>-28558102842</v>
      </c>
      <c r="J35" s="45"/>
      <c r="K35" s="50">
        <v>2730605</v>
      </c>
      <c r="L35" s="45"/>
      <c r="M35" s="50">
        <v>130353921037</v>
      </c>
      <c r="N35" s="45"/>
      <c r="O35" s="50">
        <v>123553082495</v>
      </c>
      <c r="P35" s="45"/>
      <c r="Q35" s="50">
        <f t="shared" si="1"/>
        <v>6800838542</v>
      </c>
      <c r="R35" s="47"/>
      <c r="S35" s="47"/>
    </row>
    <row r="36" spans="1:19" ht="21.75" customHeight="1">
      <c r="A36" s="6" t="s">
        <v>206</v>
      </c>
      <c r="B36" s="6"/>
      <c r="C36" s="50">
        <v>10000</v>
      </c>
      <c r="D36" s="50"/>
      <c r="E36" s="50">
        <v>1715634830</v>
      </c>
      <c r="F36" s="50"/>
      <c r="G36" s="50">
        <v>-5247301911</v>
      </c>
      <c r="H36" s="50"/>
      <c r="I36" s="50">
        <f t="shared" si="0"/>
        <v>6962936741</v>
      </c>
      <c r="J36" s="50"/>
      <c r="K36" s="50">
        <v>10000</v>
      </c>
      <c r="L36" s="50"/>
      <c r="M36" s="50">
        <v>1715634830</v>
      </c>
      <c r="N36" s="50"/>
      <c r="O36" s="50">
        <v>1932148145</v>
      </c>
      <c r="P36" s="50"/>
      <c r="Q36" s="50">
        <f t="shared" si="1"/>
        <v>-216513315</v>
      </c>
      <c r="R36" s="47"/>
      <c r="S36" s="47"/>
    </row>
    <row r="37" spans="1:19" ht="21.75" customHeight="1">
      <c r="A37" s="6" t="s">
        <v>11</v>
      </c>
      <c r="B37" s="6"/>
      <c r="C37" s="50">
        <v>18460361</v>
      </c>
      <c r="D37" s="50"/>
      <c r="E37" s="50">
        <v>34492158317</v>
      </c>
      <c r="F37" s="50"/>
      <c r="G37" s="50">
        <v>51542481121</v>
      </c>
      <c r="H37" s="50"/>
      <c r="I37" s="50">
        <f t="shared" si="0"/>
        <v>-17050322804</v>
      </c>
      <c r="J37" s="50"/>
      <c r="K37" s="50">
        <v>18460361</v>
      </c>
      <c r="L37" s="50"/>
      <c r="M37" s="50">
        <v>34492158317</v>
      </c>
      <c r="N37" s="50"/>
      <c r="O37" s="50">
        <v>43756307543</v>
      </c>
      <c r="P37" s="50"/>
      <c r="Q37" s="50">
        <f t="shared" si="1"/>
        <v>-9264149226</v>
      </c>
      <c r="R37" s="47"/>
      <c r="S37" s="47"/>
    </row>
    <row r="38" spans="1:19" ht="21.75" customHeight="1">
      <c r="A38" s="6" t="s">
        <v>35</v>
      </c>
      <c r="B38" s="6"/>
      <c r="C38" s="50">
        <v>9346670</v>
      </c>
      <c r="D38" s="50"/>
      <c r="E38" s="50">
        <v>88199736490</v>
      </c>
      <c r="F38" s="50"/>
      <c r="G38" s="50">
        <v>105635646543</v>
      </c>
      <c r="H38" s="50"/>
      <c r="I38" s="50">
        <f t="shared" si="0"/>
        <v>-17435910053</v>
      </c>
      <c r="J38" s="50"/>
      <c r="K38" s="50">
        <v>9346670</v>
      </c>
      <c r="L38" s="50"/>
      <c r="M38" s="50">
        <v>88199736490</v>
      </c>
      <c r="N38" s="50"/>
      <c r="O38" s="50">
        <v>67833672638</v>
      </c>
      <c r="P38" s="50"/>
      <c r="Q38" s="50">
        <f t="shared" si="1"/>
        <v>20366063852</v>
      </c>
      <c r="R38" s="47"/>
      <c r="S38" s="47"/>
    </row>
    <row r="39" spans="1:19" ht="21.75" customHeight="1">
      <c r="A39" s="6" t="s">
        <v>13</v>
      </c>
      <c r="B39" s="6"/>
      <c r="C39" s="50">
        <v>4041021</v>
      </c>
      <c r="D39" s="50"/>
      <c r="E39" s="50">
        <v>34604435123</v>
      </c>
      <c r="F39" s="50"/>
      <c r="G39" s="50">
        <v>41461165605</v>
      </c>
      <c r="H39" s="50"/>
      <c r="I39" s="50">
        <f t="shared" si="0"/>
        <v>-6856730482</v>
      </c>
      <c r="J39" s="50"/>
      <c r="K39" s="50">
        <v>4041021</v>
      </c>
      <c r="L39" s="50"/>
      <c r="M39" s="50">
        <v>34604435123</v>
      </c>
      <c r="N39" s="50"/>
      <c r="O39" s="50">
        <v>30232241239</v>
      </c>
      <c r="P39" s="50"/>
      <c r="Q39" s="50">
        <f t="shared" si="1"/>
        <v>4372193884</v>
      </c>
      <c r="R39" s="47"/>
      <c r="S39" s="47"/>
    </row>
    <row r="40" spans="1:19" ht="21.75" customHeight="1">
      <c r="A40" s="6" t="s">
        <v>176</v>
      </c>
      <c r="B40" s="6"/>
      <c r="C40" s="50">
        <v>800000</v>
      </c>
      <c r="D40" s="50"/>
      <c r="E40" s="50">
        <v>7604757280</v>
      </c>
      <c r="F40" s="50"/>
      <c r="G40" s="50">
        <v>11041980560</v>
      </c>
      <c r="H40" s="50"/>
      <c r="I40" s="50">
        <f t="shared" si="0"/>
        <v>-3437223280</v>
      </c>
      <c r="J40" s="50"/>
      <c r="K40" s="50">
        <v>800000</v>
      </c>
      <c r="L40" s="50"/>
      <c r="M40" s="50">
        <v>7604757280</v>
      </c>
      <c r="N40" s="50"/>
      <c r="O40" s="50">
        <v>12496954816</v>
      </c>
      <c r="P40" s="50"/>
      <c r="Q40" s="50">
        <f t="shared" si="1"/>
        <v>-4892197536</v>
      </c>
      <c r="R40" s="47"/>
      <c r="S40" s="47"/>
    </row>
    <row r="41" spans="1:19" ht="21.75" customHeight="1">
      <c r="A41" s="6" t="s">
        <v>18</v>
      </c>
      <c r="B41" s="6"/>
      <c r="C41" s="50">
        <v>1659644</v>
      </c>
      <c r="D41" s="50"/>
      <c r="E41" s="50">
        <v>43442978430</v>
      </c>
      <c r="F41" s="50"/>
      <c r="G41" s="50">
        <v>58394474107</v>
      </c>
      <c r="H41" s="50"/>
      <c r="I41" s="50">
        <f t="shared" si="0"/>
        <v>-14951495677</v>
      </c>
      <c r="J41" s="50"/>
      <c r="K41" s="50">
        <v>1659644</v>
      </c>
      <c r="L41" s="50"/>
      <c r="M41" s="50">
        <v>43442978430</v>
      </c>
      <c r="N41" s="50"/>
      <c r="O41" s="50">
        <v>58214908561</v>
      </c>
      <c r="P41" s="50"/>
      <c r="Q41" s="50">
        <f t="shared" si="1"/>
        <v>-14771930131</v>
      </c>
      <c r="R41" s="47"/>
      <c r="S41" s="47"/>
    </row>
    <row r="42" spans="1:19" ht="18.75">
      <c r="A42" s="6" t="s">
        <v>26</v>
      </c>
      <c r="B42" s="6"/>
      <c r="C42" s="50">
        <v>19612437</v>
      </c>
      <c r="D42" s="50"/>
      <c r="E42" s="50">
        <v>102169372525</v>
      </c>
      <c r="F42" s="50"/>
      <c r="G42" s="50">
        <v>108898490416</v>
      </c>
      <c r="H42" s="50"/>
      <c r="I42" s="50">
        <f t="shared" si="0"/>
        <v>-6729117891</v>
      </c>
      <c r="J42" s="50"/>
      <c r="K42" s="50">
        <v>19612437</v>
      </c>
      <c r="L42" s="50"/>
      <c r="M42" s="50">
        <v>102169372525</v>
      </c>
      <c r="N42" s="50"/>
      <c r="O42" s="50">
        <v>71375002828</v>
      </c>
      <c r="P42" s="50"/>
      <c r="Q42" s="50">
        <f t="shared" si="1"/>
        <v>30794369697</v>
      </c>
      <c r="R42" s="47"/>
      <c r="S42" s="47"/>
    </row>
    <row r="43" spans="1:19" ht="18.75">
      <c r="A43" s="6" t="s">
        <v>32</v>
      </c>
      <c r="B43" s="6"/>
      <c r="C43" s="50">
        <v>3114035</v>
      </c>
      <c r="D43" s="50"/>
      <c r="E43" s="50">
        <v>14739125940</v>
      </c>
      <c r="F43" s="50"/>
      <c r="G43" s="50">
        <v>15017222655</v>
      </c>
      <c r="H43" s="50"/>
      <c r="I43" s="50">
        <f t="shared" si="0"/>
        <v>-278096715</v>
      </c>
      <c r="J43" s="50"/>
      <c r="K43" s="50">
        <v>3114035</v>
      </c>
      <c r="L43" s="50"/>
      <c r="M43" s="50">
        <v>14739125940</v>
      </c>
      <c r="N43" s="50"/>
      <c r="O43" s="50">
        <v>10243229033</v>
      </c>
      <c r="P43" s="50"/>
      <c r="Q43" s="50">
        <f t="shared" si="1"/>
        <v>4495896907</v>
      </c>
      <c r="R43" s="47"/>
      <c r="S43" s="47"/>
    </row>
    <row r="44" spans="1:19" ht="18.75">
      <c r="A44" s="6" t="s">
        <v>20</v>
      </c>
      <c r="B44" s="6"/>
      <c r="C44" s="50">
        <v>1600000</v>
      </c>
      <c r="D44" s="50"/>
      <c r="E44" s="50">
        <v>3465800656</v>
      </c>
      <c r="F44" s="50"/>
      <c r="G44" s="50">
        <v>3135573200</v>
      </c>
      <c r="H44" s="50"/>
      <c r="I44" s="50">
        <f t="shared" si="0"/>
        <v>330227456</v>
      </c>
      <c r="J44" s="50"/>
      <c r="K44" s="50">
        <v>1600000</v>
      </c>
      <c r="L44" s="50"/>
      <c r="M44" s="50">
        <v>3465800656</v>
      </c>
      <c r="N44" s="50"/>
      <c r="O44" s="50">
        <v>2632293856</v>
      </c>
      <c r="P44" s="50"/>
      <c r="Q44" s="50">
        <f t="shared" si="1"/>
        <v>833506800</v>
      </c>
      <c r="R44" s="47"/>
      <c r="S44" s="47"/>
    </row>
    <row r="45" spans="1:19" ht="18.75">
      <c r="A45" s="6" t="s">
        <v>180</v>
      </c>
      <c r="B45" s="6"/>
      <c r="C45" s="50">
        <v>219000</v>
      </c>
      <c r="D45" s="50"/>
      <c r="E45" s="50">
        <v>5908580864</v>
      </c>
      <c r="F45" s="50"/>
      <c r="G45" s="50">
        <v>6323637483</v>
      </c>
      <c r="H45" s="50"/>
      <c r="I45" s="50">
        <f t="shared" si="0"/>
        <v>-415056619</v>
      </c>
      <c r="J45" s="50"/>
      <c r="K45" s="50">
        <v>219000</v>
      </c>
      <c r="L45" s="50"/>
      <c r="M45" s="50">
        <v>5908580864</v>
      </c>
      <c r="N45" s="50"/>
      <c r="O45" s="50">
        <v>5296465925</v>
      </c>
      <c r="P45" s="50"/>
      <c r="Q45" s="50">
        <f t="shared" si="1"/>
        <v>612114939</v>
      </c>
      <c r="R45" s="47"/>
      <c r="S45" s="47"/>
    </row>
    <row r="46" spans="1:19" ht="18.75">
      <c r="A46" s="6" t="s">
        <v>172</v>
      </c>
      <c r="B46" s="6"/>
      <c r="C46" s="50">
        <v>600000</v>
      </c>
      <c r="D46" s="50"/>
      <c r="E46" s="50">
        <v>4834339474</v>
      </c>
      <c r="F46" s="50"/>
      <c r="G46" s="50">
        <v>4630714365</v>
      </c>
      <c r="H46" s="50"/>
      <c r="I46" s="50">
        <f t="shared" si="0"/>
        <v>203625109</v>
      </c>
      <c r="J46" s="50"/>
      <c r="K46" s="50">
        <v>0</v>
      </c>
      <c r="L46" s="50"/>
      <c r="M46" s="50">
        <v>0</v>
      </c>
      <c r="N46" s="50"/>
      <c r="O46" s="50">
        <v>0</v>
      </c>
      <c r="P46" s="50"/>
      <c r="Q46" s="50">
        <v>0</v>
      </c>
      <c r="R46" s="47"/>
      <c r="S46" s="47"/>
    </row>
    <row r="47" spans="1:19" ht="18.75">
      <c r="A47" s="6" t="s">
        <v>147</v>
      </c>
      <c r="B47" s="6"/>
      <c r="C47" s="50">
        <v>147597</v>
      </c>
      <c r="D47" s="50"/>
      <c r="E47" s="50">
        <v>19296084085</v>
      </c>
      <c r="F47" s="50"/>
      <c r="G47" s="50">
        <v>17992625016</v>
      </c>
      <c r="H47" s="50"/>
      <c r="I47" s="50">
        <f t="shared" si="0"/>
        <v>1303459069</v>
      </c>
      <c r="J47" s="50"/>
      <c r="K47" s="50">
        <v>0</v>
      </c>
      <c r="L47" s="50"/>
      <c r="M47" s="50">
        <v>0</v>
      </c>
      <c r="N47" s="50"/>
      <c r="O47" s="50">
        <v>0</v>
      </c>
      <c r="P47" s="50"/>
      <c r="Q47" s="50">
        <v>0</v>
      </c>
      <c r="R47" s="47"/>
      <c r="S47" s="47"/>
    </row>
    <row r="48" spans="1:19" ht="18.75">
      <c r="A48" s="6" t="s">
        <v>78</v>
      </c>
      <c r="B48" s="6"/>
      <c r="C48" s="50">
        <v>2300000</v>
      </c>
      <c r="D48" s="50"/>
      <c r="E48" s="50">
        <v>86352205163</v>
      </c>
      <c r="F48" s="50"/>
      <c r="G48" s="50">
        <v>75968099613</v>
      </c>
      <c r="H48" s="50"/>
      <c r="I48" s="50">
        <f t="shared" si="0"/>
        <v>10384105550</v>
      </c>
      <c r="J48" s="50"/>
      <c r="K48" s="50">
        <v>0</v>
      </c>
      <c r="L48" s="50"/>
      <c r="M48" s="50">
        <v>0</v>
      </c>
      <c r="N48" s="50"/>
      <c r="O48" s="50">
        <v>0</v>
      </c>
      <c r="P48" s="50"/>
      <c r="Q48" s="50">
        <v>0</v>
      </c>
      <c r="R48" s="47"/>
      <c r="S48" s="47"/>
    </row>
    <row r="49" spans="1:19" ht="18.75">
      <c r="A49" s="6" t="s">
        <v>146</v>
      </c>
      <c r="B49" s="6"/>
      <c r="C49" s="50">
        <v>400000</v>
      </c>
      <c r="D49" s="50"/>
      <c r="E49" s="50">
        <v>25479509123</v>
      </c>
      <c r="F49" s="50"/>
      <c r="G49" s="50">
        <v>31028282963</v>
      </c>
      <c r="H49" s="50"/>
      <c r="I49" s="50">
        <f t="shared" si="0"/>
        <v>-5548773840</v>
      </c>
      <c r="J49" s="50"/>
      <c r="K49" s="50">
        <v>0</v>
      </c>
      <c r="L49" s="50"/>
      <c r="M49" s="50">
        <v>0</v>
      </c>
      <c r="N49" s="50"/>
      <c r="O49" s="50">
        <v>0</v>
      </c>
      <c r="P49" s="50"/>
      <c r="Q49" s="50">
        <v>0</v>
      </c>
      <c r="R49" s="47"/>
      <c r="S49" s="47"/>
    </row>
    <row r="50" spans="1:19" ht="18.75">
      <c r="A50" s="6" t="s">
        <v>178</v>
      </c>
      <c r="B50" s="6"/>
      <c r="C50" s="50">
        <v>400000</v>
      </c>
      <c r="D50" s="50"/>
      <c r="E50" s="50">
        <v>7684138946</v>
      </c>
      <c r="F50" s="50"/>
      <c r="G50" s="50">
        <v>9443361151</v>
      </c>
      <c r="H50" s="50"/>
      <c r="I50" s="50">
        <f t="shared" si="0"/>
        <v>-1759222205</v>
      </c>
      <c r="J50" s="50"/>
      <c r="K50" s="50">
        <v>0</v>
      </c>
      <c r="L50" s="50"/>
      <c r="M50" s="50">
        <v>0</v>
      </c>
      <c r="N50" s="50"/>
      <c r="O50" s="50">
        <v>0</v>
      </c>
      <c r="P50" s="50"/>
      <c r="Q50" s="50">
        <v>0</v>
      </c>
      <c r="R50" s="47"/>
      <c r="S50" s="47"/>
    </row>
    <row r="51" spans="1:19" ht="19.5" customHeight="1">
      <c r="A51" s="6" t="s">
        <v>170</v>
      </c>
      <c r="B51" s="6"/>
      <c r="C51" s="50">
        <v>1200000</v>
      </c>
      <c r="D51" s="50"/>
      <c r="E51" s="50">
        <v>5938735979</v>
      </c>
      <c r="F51" s="50"/>
      <c r="G51" s="50">
        <v>7097554648</v>
      </c>
      <c r="H51" s="50"/>
      <c r="I51" s="50">
        <f t="shared" si="0"/>
        <v>-1158818669</v>
      </c>
      <c r="J51" s="50"/>
      <c r="K51" s="50">
        <v>0</v>
      </c>
      <c r="L51" s="50"/>
      <c r="M51" s="50">
        <v>0</v>
      </c>
      <c r="N51" s="50"/>
      <c r="O51" s="50">
        <v>0</v>
      </c>
      <c r="P51" s="50"/>
      <c r="Q51" s="50">
        <v>0</v>
      </c>
      <c r="R51" s="47"/>
      <c r="S51" s="47"/>
    </row>
    <row r="52" spans="1:19" ht="18.75">
      <c r="A52" s="6" t="s">
        <v>175</v>
      </c>
      <c r="B52" s="6"/>
      <c r="C52" s="50">
        <v>1200000</v>
      </c>
      <c r="D52" s="50"/>
      <c r="E52" s="50">
        <v>3610275192</v>
      </c>
      <c r="F52" s="50"/>
      <c r="G52" s="50">
        <v>3941888144</v>
      </c>
      <c r="H52" s="50"/>
      <c r="I52" s="50">
        <f t="shared" si="0"/>
        <v>-331612952</v>
      </c>
      <c r="J52" s="50"/>
      <c r="K52" s="50">
        <v>0</v>
      </c>
      <c r="L52" s="50"/>
      <c r="M52" s="50">
        <v>0</v>
      </c>
      <c r="N52" s="50"/>
      <c r="O52" s="50">
        <v>0</v>
      </c>
      <c r="P52" s="50"/>
      <c r="Q52" s="50">
        <v>0</v>
      </c>
      <c r="R52" s="47"/>
      <c r="S52" s="47"/>
    </row>
    <row r="53" spans="1:19" ht="18.75">
      <c r="A53" s="6" t="s">
        <v>177</v>
      </c>
      <c r="B53" s="6"/>
      <c r="C53" s="50">
        <v>100000</v>
      </c>
      <c r="D53" s="50"/>
      <c r="E53" s="50">
        <v>1403069799</v>
      </c>
      <c r="F53" s="50"/>
      <c r="G53" s="50">
        <v>1610075768</v>
      </c>
      <c r="H53" s="50"/>
      <c r="I53" s="50">
        <f t="shared" si="0"/>
        <v>-207005969</v>
      </c>
      <c r="J53" s="50"/>
      <c r="K53" s="50">
        <v>0</v>
      </c>
      <c r="L53" s="50"/>
      <c r="M53" s="50">
        <v>0</v>
      </c>
      <c r="N53" s="50"/>
      <c r="O53" s="50">
        <v>0</v>
      </c>
      <c r="P53" s="50"/>
      <c r="Q53" s="50">
        <v>0</v>
      </c>
      <c r="R53" s="47"/>
      <c r="S53" s="47"/>
    </row>
    <row r="54" spans="1:19" ht="18.75">
      <c r="A54" s="6" t="s">
        <v>49</v>
      </c>
      <c r="B54" s="6"/>
      <c r="C54" s="50">
        <v>606000</v>
      </c>
      <c r="D54" s="50"/>
      <c r="E54" s="50">
        <v>605670487500</v>
      </c>
      <c r="F54" s="50"/>
      <c r="G54" s="50">
        <v>605944694362</v>
      </c>
      <c r="H54" s="50"/>
      <c r="I54" s="50">
        <f t="shared" si="0"/>
        <v>-274206862</v>
      </c>
      <c r="J54" s="50"/>
      <c r="K54" s="50">
        <v>606000</v>
      </c>
      <c r="L54" s="50"/>
      <c r="M54" s="50">
        <v>605670487500</v>
      </c>
      <c r="N54" s="50"/>
      <c r="O54" s="50">
        <v>606308414362</v>
      </c>
      <c r="P54" s="50"/>
      <c r="Q54" s="50">
        <f t="shared" si="1"/>
        <v>-637926862</v>
      </c>
      <c r="R54" s="47"/>
      <c r="S54" s="47"/>
    </row>
    <row r="55" spans="1:19" ht="18.75">
      <c r="A55" s="6" t="s">
        <v>186</v>
      </c>
      <c r="B55" s="6"/>
      <c r="C55" s="50">
        <v>8000000</v>
      </c>
      <c r="D55" s="50"/>
      <c r="E55" s="50">
        <v>1566074665</v>
      </c>
      <c r="F55" s="50"/>
      <c r="G55" s="50">
        <v>16265374665</v>
      </c>
      <c r="H55" s="50"/>
      <c r="I55" s="50">
        <f>G55-E55</f>
        <v>14699300000</v>
      </c>
      <c r="J55" s="50"/>
      <c r="K55" s="50">
        <v>0</v>
      </c>
      <c r="L55" s="50"/>
      <c r="M55" s="50">
        <v>0</v>
      </c>
      <c r="N55" s="50"/>
      <c r="O55" s="50">
        <v>0</v>
      </c>
      <c r="P55" s="50"/>
      <c r="Q55" s="50">
        <v>0</v>
      </c>
      <c r="R55" s="47"/>
      <c r="S55" s="47"/>
    </row>
    <row r="56" spans="1:19" ht="18.75">
      <c r="A56" s="6" t="s">
        <v>187</v>
      </c>
      <c r="B56" s="6"/>
      <c r="C56" s="50">
        <v>1439000</v>
      </c>
      <c r="D56" s="50"/>
      <c r="E56" s="50">
        <v>452629210</v>
      </c>
      <c r="F56" s="50"/>
      <c r="G56" s="50">
        <v>3351627648</v>
      </c>
      <c r="H56" s="50"/>
      <c r="I56" s="50">
        <f t="shared" ref="I56:I60" si="2">G56-E56</f>
        <v>2898998438</v>
      </c>
      <c r="J56" s="50"/>
      <c r="K56" s="50">
        <v>0</v>
      </c>
      <c r="L56" s="50"/>
      <c r="M56" s="50">
        <v>0</v>
      </c>
      <c r="N56" s="50"/>
      <c r="O56" s="50">
        <v>0</v>
      </c>
      <c r="P56" s="50"/>
      <c r="Q56" s="50">
        <v>0</v>
      </c>
      <c r="R56" s="47"/>
      <c r="S56" s="47"/>
    </row>
    <row r="57" spans="1:19" ht="18.75">
      <c r="A57" s="6" t="s">
        <v>188</v>
      </c>
      <c r="B57" s="6"/>
      <c r="C57" s="50">
        <v>35961000</v>
      </c>
      <c r="D57" s="50"/>
      <c r="E57" s="50">
        <v>2084173696</v>
      </c>
      <c r="F57" s="50"/>
      <c r="G57" s="50">
        <v>5677576622</v>
      </c>
      <c r="H57" s="50"/>
      <c r="I57" s="50">
        <f t="shared" si="2"/>
        <v>3593402926</v>
      </c>
      <c r="J57" s="50"/>
      <c r="K57" s="50">
        <v>35961000</v>
      </c>
      <c r="L57" s="50"/>
      <c r="M57" s="50">
        <v>2084173696</v>
      </c>
      <c r="N57" s="50"/>
      <c r="O57" s="50">
        <v>5782364029</v>
      </c>
      <c r="P57" s="50"/>
      <c r="Q57" s="50">
        <f>O57-M57</f>
        <v>3698190333</v>
      </c>
      <c r="R57" s="47"/>
      <c r="S57" s="47"/>
    </row>
    <row r="58" spans="1:19" ht="18.75">
      <c r="A58" s="6" t="s">
        <v>189</v>
      </c>
      <c r="B58" s="6"/>
      <c r="C58" s="50">
        <v>4000000</v>
      </c>
      <c r="D58" s="50"/>
      <c r="E58" s="50">
        <v>391706000</v>
      </c>
      <c r="F58" s="50"/>
      <c r="G58" s="50">
        <v>719460000</v>
      </c>
      <c r="H58" s="50"/>
      <c r="I58" s="50">
        <f t="shared" si="2"/>
        <v>327754000</v>
      </c>
      <c r="J58" s="50"/>
      <c r="K58" s="50">
        <v>4000000</v>
      </c>
      <c r="L58" s="50"/>
      <c r="M58" s="50">
        <v>391706000</v>
      </c>
      <c r="N58" s="50"/>
      <c r="O58" s="50">
        <v>728535000</v>
      </c>
      <c r="P58" s="50"/>
      <c r="Q58" s="50">
        <f t="shared" ref="Q58:Q60" si="3">O58-M58</f>
        <v>336829000</v>
      </c>
      <c r="R58" s="47"/>
      <c r="S58" s="47"/>
    </row>
    <row r="59" spans="1:19" ht="18.75">
      <c r="A59" s="6" t="s">
        <v>190</v>
      </c>
      <c r="B59" s="6"/>
      <c r="C59" s="50">
        <v>8777142</v>
      </c>
      <c r="D59" s="50"/>
      <c r="E59" s="50">
        <v>27267668377</v>
      </c>
      <c r="F59" s="50"/>
      <c r="G59" s="50">
        <v>27860780494</v>
      </c>
      <c r="H59" s="50"/>
      <c r="I59" s="50">
        <f t="shared" si="2"/>
        <v>593112117</v>
      </c>
      <c r="J59" s="50"/>
      <c r="K59" s="50">
        <v>8777142</v>
      </c>
      <c r="L59" s="50"/>
      <c r="M59" s="50">
        <v>27267668377</v>
      </c>
      <c r="N59" s="50"/>
      <c r="O59" s="50">
        <v>19683793164</v>
      </c>
      <c r="P59" s="50"/>
      <c r="Q59" s="50">
        <f t="shared" si="3"/>
        <v>-7583875213</v>
      </c>
      <c r="R59" s="47"/>
      <c r="S59" s="47"/>
    </row>
    <row r="60" spans="1:19" ht="18.75">
      <c r="A60" s="6" t="s">
        <v>207</v>
      </c>
      <c r="B60" s="6"/>
      <c r="C60" s="50">
        <v>0</v>
      </c>
      <c r="D60" s="50"/>
      <c r="E60" s="50">
        <v>0</v>
      </c>
      <c r="F60" s="50"/>
      <c r="G60" s="50">
        <v>-1</v>
      </c>
      <c r="H60" s="50"/>
      <c r="I60" s="50">
        <f t="shared" si="2"/>
        <v>-1</v>
      </c>
      <c r="J60" s="50"/>
      <c r="K60" s="50"/>
      <c r="L60" s="50"/>
      <c r="M60" s="50">
        <v>0</v>
      </c>
      <c r="N60" s="50"/>
      <c r="O60" s="50">
        <v>-1</v>
      </c>
      <c r="P60" s="50"/>
      <c r="Q60" s="50">
        <f t="shared" si="3"/>
        <v>-1</v>
      </c>
      <c r="R60" s="47"/>
      <c r="S60" s="47"/>
    </row>
    <row r="61" spans="1:19" ht="19.5" thickBot="1">
      <c r="A61" s="6"/>
      <c r="B61" s="6"/>
      <c r="C61" s="6"/>
      <c r="E61" s="52">
        <f>SUM(E8:E60)</f>
        <v>2834039597432</v>
      </c>
      <c r="F61" s="35"/>
      <c r="G61" s="52">
        <f>SUM(G8:G60)</f>
        <v>3156853805987</v>
      </c>
      <c r="H61" s="35"/>
      <c r="I61" s="52">
        <f>SUM(I8:I60)</f>
        <v>-278589073595</v>
      </c>
      <c r="J61" s="50"/>
      <c r="K61" s="35"/>
      <c r="L61" s="35"/>
      <c r="M61" s="52">
        <f>SUM(M8:M60)</f>
        <v>2677422535796</v>
      </c>
      <c r="N61" s="35"/>
      <c r="O61" s="52">
        <f>SUM(O8:O60)</f>
        <v>2590720625592</v>
      </c>
      <c r="P61" s="35"/>
      <c r="Q61" s="52">
        <f>SUM(Q8:Q60)</f>
        <v>79604198442</v>
      </c>
      <c r="S61" s="47"/>
    </row>
    <row r="62" spans="1:19" ht="13.5" thickTop="1"/>
    <row r="63" spans="1:19" ht="18.75">
      <c r="Q63" s="50"/>
    </row>
    <row r="64" spans="1:19" ht="18.75">
      <c r="I64" s="50"/>
      <c r="J64" s="50"/>
      <c r="K64" s="50"/>
      <c r="L64" s="50"/>
      <c r="M64" s="50"/>
      <c r="N64" s="50"/>
      <c r="O64" s="50"/>
      <c r="P64" s="50"/>
      <c r="Q64" s="50"/>
    </row>
    <row r="65" spans="9:17" ht="18.75">
      <c r="I65" s="50"/>
      <c r="J65" s="50"/>
      <c r="K65" s="50"/>
      <c r="L65" s="50"/>
      <c r="M65" s="50"/>
      <c r="N65" s="50"/>
      <c r="O65" s="50"/>
      <c r="P65" s="50"/>
      <c r="Q65" s="50"/>
    </row>
    <row r="66" spans="9:17" ht="18.75">
      <c r="Q66" s="50"/>
    </row>
    <row r="67" spans="9:17" ht="18.75">
      <c r="Q67" s="5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9" fitToHeight="0" orientation="landscape" r:id="rId1"/>
  <rowBreaks count="1" manualBreakCount="1">
    <brk id="38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61"/>
  <sheetViews>
    <sheetView rightToLeft="1" view="pageBreakPreview" topLeftCell="A58" zoomScaleNormal="100" zoomScaleSheetLayoutView="100" workbookViewId="0">
      <selection activeCell="C57" sqref="C57:Y61"/>
    </sheetView>
  </sheetViews>
  <sheetFormatPr defaultRowHeight="12.75"/>
  <cols>
    <col min="1" max="1" width="47.42578125" style="9" customWidth="1"/>
    <col min="2" max="2" width="1.28515625" style="9" customWidth="1"/>
    <col min="3" max="3" width="17.28515625" style="9" customWidth="1"/>
    <col min="4" max="4" width="1.28515625" style="9" customWidth="1"/>
    <col min="5" max="5" width="18.42578125" style="9" bestFit="1" customWidth="1"/>
    <col min="6" max="6" width="1.28515625" style="9" customWidth="1"/>
    <col min="7" max="7" width="18.5703125" style="9" bestFit="1" customWidth="1"/>
    <col min="8" max="8" width="1.28515625" style="9" customWidth="1"/>
    <col min="9" max="9" width="11.7109375" style="9" bestFit="1" customWidth="1"/>
    <col min="10" max="10" width="1.28515625" style="9" customWidth="1"/>
    <col min="11" max="11" width="16.7109375" style="9" bestFit="1" customWidth="1"/>
    <col min="12" max="12" width="1.28515625" style="9" customWidth="1"/>
    <col min="13" max="13" width="13.5703125" style="9" bestFit="1" customWidth="1"/>
    <col min="14" max="14" width="1.28515625" style="9" customWidth="1"/>
    <col min="15" max="15" width="16.85546875" style="9" bestFit="1" customWidth="1"/>
    <col min="16" max="16" width="1.28515625" style="9" customWidth="1"/>
    <col min="17" max="17" width="12.85546875" style="9" bestFit="1" customWidth="1"/>
    <col min="18" max="18" width="1.28515625" style="9" customWidth="1"/>
    <col min="19" max="19" width="16.28515625" style="9" bestFit="1" customWidth="1"/>
    <col min="20" max="20" width="1.28515625" style="9" customWidth="1"/>
    <col min="21" max="21" width="18.42578125" style="9" bestFit="1" customWidth="1"/>
    <col min="22" max="22" width="1.28515625" style="9" customWidth="1"/>
    <col min="23" max="23" width="18.5703125" style="9" bestFit="1" customWidth="1"/>
    <col min="24" max="24" width="1.28515625" style="9" customWidth="1"/>
    <col min="25" max="25" width="18.28515625" style="9" bestFit="1" customWidth="1"/>
    <col min="26" max="27" width="16" style="9" bestFit="1" customWidth="1"/>
    <col min="28" max="28" width="9.140625" style="85"/>
    <col min="29" max="16384" width="9.140625" style="9"/>
  </cols>
  <sheetData>
    <row r="1" spans="1:27" ht="29.1" customHeight="1">
      <c r="A1" s="109" t="s">
        <v>167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</row>
    <row r="2" spans="1:27" ht="21.75" customHeight="1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</row>
    <row r="3" spans="1:27" ht="21.75" customHeight="1">
      <c r="A3" s="109" t="s">
        <v>165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</row>
    <row r="4" spans="1:27" ht="14.45" customHeight="1">
      <c r="A4" s="110" t="s">
        <v>114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</row>
    <row r="5" spans="1:27" ht="14.45" customHeight="1">
      <c r="A5" s="110" t="s">
        <v>115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</row>
    <row r="6" spans="1:27" ht="14.45" customHeight="1">
      <c r="C6" s="111" t="s">
        <v>168</v>
      </c>
      <c r="D6" s="111"/>
      <c r="E6" s="111"/>
      <c r="F6" s="111"/>
      <c r="G6" s="111"/>
      <c r="I6" s="111" t="s">
        <v>1</v>
      </c>
      <c r="J6" s="111"/>
      <c r="K6" s="111"/>
      <c r="L6" s="111"/>
      <c r="M6" s="111"/>
      <c r="N6" s="111"/>
      <c r="O6" s="111"/>
      <c r="Q6" s="111" t="s">
        <v>169</v>
      </c>
      <c r="R6" s="111"/>
      <c r="S6" s="111"/>
      <c r="T6" s="111"/>
      <c r="U6" s="111"/>
      <c r="V6" s="111"/>
      <c r="W6" s="111"/>
      <c r="X6" s="111"/>
      <c r="Y6" s="111"/>
    </row>
    <row r="7" spans="1:27" ht="14.45" customHeight="1">
      <c r="C7" s="10"/>
      <c r="D7" s="10"/>
      <c r="E7" s="10"/>
      <c r="F7" s="10"/>
      <c r="G7" s="10"/>
      <c r="I7" s="112" t="s">
        <v>2</v>
      </c>
      <c r="J7" s="112"/>
      <c r="K7" s="112"/>
      <c r="L7" s="10"/>
      <c r="M7" s="112" t="s">
        <v>3</v>
      </c>
      <c r="N7" s="112"/>
      <c r="O7" s="112"/>
      <c r="Q7" s="10"/>
      <c r="R7" s="10"/>
      <c r="S7" s="10"/>
      <c r="T7" s="10"/>
      <c r="U7" s="10"/>
      <c r="V7" s="10"/>
      <c r="W7" s="10"/>
      <c r="X7" s="10"/>
      <c r="Y7" s="10"/>
    </row>
    <row r="8" spans="1:27" ht="14.45" customHeight="1">
      <c r="A8" s="14" t="s">
        <v>4</v>
      </c>
      <c r="C8" s="42" t="s">
        <v>5</v>
      </c>
      <c r="E8" s="2" t="s">
        <v>6</v>
      </c>
      <c r="G8" s="2" t="s">
        <v>7</v>
      </c>
      <c r="I8" s="4" t="s">
        <v>5</v>
      </c>
      <c r="J8" s="10"/>
      <c r="K8" s="4" t="s">
        <v>6</v>
      </c>
      <c r="M8" s="4" t="s">
        <v>5</v>
      </c>
      <c r="N8" s="10"/>
      <c r="O8" s="4" t="s">
        <v>8</v>
      </c>
      <c r="Q8" s="2" t="s">
        <v>5</v>
      </c>
      <c r="S8" s="2" t="s">
        <v>9</v>
      </c>
      <c r="U8" s="2" t="s">
        <v>6</v>
      </c>
      <c r="W8" s="2" t="s">
        <v>7</v>
      </c>
      <c r="Y8" s="2" t="s">
        <v>10</v>
      </c>
    </row>
    <row r="9" spans="1:27" ht="21.75" customHeight="1">
      <c r="A9" s="13" t="s">
        <v>170</v>
      </c>
      <c r="C9" s="75">
        <v>1200000</v>
      </c>
      <c r="D9" s="76"/>
      <c r="E9" s="75">
        <v>4312558111</v>
      </c>
      <c r="F9" s="76"/>
      <c r="G9" s="75">
        <v>5471376780</v>
      </c>
      <c r="H9" s="76"/>
      <c r="I9" s="77">
        <v>0</v>
      </c>
      <c r="J9" s="76"/>
      <c r="K9" s="77">
        <v>0</v>
      </c>
      <c r="L9" s="76"/>
      <c r="M9" s="77">
        <v>-1200000</v>
      </c>
      <c r="N9" s="76"/>
      <c r="O9" s="77">
        <v>5938735979</v>
      </c>
      <c r="P9" s="78"/>
      <c r="Q9" s="77">
        <f>C9+I9+M9</f>
        <v>0</v>
      </c>
      <c r="R9" s="76"/>
      <c r="S9" s="77">
        <v>0</v>
      </c>
      <c r="T9" s="76"/>
      <c r="U9" s="77">
        <v>0</v>
      </c>
      <c r="V9" s="79"/>
      <c r="W9" s="77">
        <v>0</v>
      </c>
      <c r="X9" s="79"/>
      <c r="Y9" s="80">
        <f>W9/2730270254471*100</f>
        <v>0</v>
      </c>
      <c r="Z9" s="23"/>
      <c r="AA9" s="23"/>
    </row>
    <row r="10" spans="1:27" ht="21.75" customHeight="1">
      <c r="A10" s="12" t="s">
        <v>171</v>
      </c>
      <c r="C10" s="77">
        <v>39961000</v>
      </c>
      <c r="D10" s="76"/>
      <c r="E10" s="77">
        <v>25107496300</v>
      </c>
      <c r="F10" s="76"/>
      <c r="G10" s="77">
        <v>27558210521</v>
      </c>
      <c r="H10" s="76"/>
      <c r="I10" s="77">
        <v>0</v>
      </c>
      <c r="J10" s="76"/>
      <c r="K10" s="77">
        <v>0</v>
      </c>
      <c r="L10" s="76"/>
      <c r="M10" s="77">
        <v>0</v>
      </c>
      <c r="N10" s="76"/>
      <c r="O10" s="77">
        <v>0</v>
      </c>
      <c r="P10" s="78"/>
      <c r="Q10" s="77">
        <f>C10+I10+M10</f>
        <v>39961000</v>
      </c>
      <c r="R10" s="76"/>
      <c r="S10" s="77">
        <v>641</v>
      </c>
      <c r="T10" s="76"/>
      <c r="U10" s="77">
        <v>25107496300</v>
      </c>
      <c r="V10" s="79"/>
      <c r="W10" s="77">
        <v>25416997042</v>
      </c>
      <c r="X10" s="79"/>
      <c r="Y10" s="80">
        <f t="shared" ref="Y10:Y54" si="0">W10/2730270254471*100</f>
        <v>0.93093337556522004</v>
      </c>
      <c r="Z10" s="23"/>
      <c r="AA10" s="23"/>
    </row>
    <row r="11" spans="1:27" ht="21.75" customHeight="1">
      <c r="A11" s="12" t="s">
        <v>172</v>
      </c>
      <c r="C11" s="77">
        <v>600000</v>
      </c>
      <c r="D11" s="76"/>
      <c r="E11" s="77">
        <v>4710515449</v>
      </c>
      <c r="F11" s="76"/>
      <c r="G11" s="77">
        <v>4506890340</v>
      </c>
      <c r="H11" s="76"/>
      <c r="I11" s="77">
        <v>0</v>
      </c>
      <c r="J11" s="76"/>
      <c r="K11" s="77">
        <v>0</v>
      </c>
      <c r="L11" s="76"/>
      <c r="M11" s="77">
        <v>-600000</v>
      </c>
      <c r="N11" s="76"/>
      <c r="O11" s="77">
        <v>4834339474</v>
      </c>
      <c r="P11" s="78"/>
      <c r="Q11" s="77">
        <f t="shared" ref="Q11:Q54" si="1">C11+I11+M11</f>
        <v>0</v>
      </c>
      <c r="R11" s="76"/>
      <c r="S11" s="77">
        <v>0</v>
      </c>
      <c r="T11" s="76"/>
      <c r="U11" s="77">
        <v>0</v>
      </c>
      <c r="V11" s="79"/>
      <c r="W11" s="77">
        <v>0</v>
      </c>
      <c r="X11" s="79"/>
      <c r="Y11" s="80">
        <f t="shared" si="0"/>
        <v>0</v>
      </c>
      <c r="Z11" s="23"/>
      <c r="AA11" s="23"/>
    </row>
    <row r="12" spans="1:27" ht="21.75" customHeight="1">
      <c r="A12" s="12" t="s">
        <v>173</v>
      </c>
      <c r="C12" s="77">
        <v>9839410</v>
      </c>
      <c r="D12" s="76"/>
      <c r="E12" s="77">
        <v>69139841617</v>
      </c>
      <c r="F12" s="76"/>
      <c r="G12" s="77">
        <v>89432298464</v>
      </c>
      <c r="H12" s="76"/>
      <c r="I12" s="77">
        <v>0</v>
      </c>
      <c r="J12" s="76"/>
      <c r="K12" s="77">
        <v>0</v>
      </c>
      <c r="L12" s="76"/>
      <c r="M12" s="77">
        <v>-9010000</v>
      </c>
      <c r="N12" s="76"/>
      <c r="O12" s="77">
        <v>0</v>
      </c>
      <c r="P12" s="78"/>
      <c r="Q12" s="77">
        <f t="shared" si="1"/>
        <v>829410</v>
      </c>
      <c r="R12" s="76"/>
      <c r="S12" s="77">
        <v>9420</v>
      </c>
      <c r="T12" s="76"/>
      <c r="U12" s="77">
        <v>5828121406</v>
      </c>
      <c r="V12" s="79"/>
      <c r="W12" s="77">
        <v>7752647383</v>
      </c>
      <c r="X12" s="79"/>
      <c r="Y12" s="80">
        <f t="shared" si="0"/>
        <v>0.28395164802108958</v>
      </c>
      <c r="Z12" s="23"/>
      <c r="AA12" s="23"/>
    </row>
    <row r="13" spans="1:27" ht="21.75" customHeight="1">
      <c r="A13" s="12" t="s">
        <v>174</v>
      </c>
      <c r="C13" s="77">
        <v>1400000</v>
      </c>
      <c r="D13" s="76"/>
      <c r="E13" s="77">
        <v>12244532722</v>
      </c>
      <c r="F13" s="76"/>
      <c r="G13" s="77">
        <v>16100573020</v>
      </c>
      <c r="H13" s="76"/>
      <c r="I13" s="77">
        <v>0</v>
      </c>
      <c r="J13" s="76"/>
      <c r="K13" s="77">
        <v>0</v>
      </c>
      <c r="L13" s="76"/>
      <c r="M13" s="77">
        <v>0</v>
      </c>
      <c r="N13" s="76"/>
      <c r="O13" s="77">
        <v>0</v>
      </c>
      <c r="P13" s="78"/>
      <c r="Q13" s="77">
        <f t="shared" si="1"/>
        <v>1400000</v>
      </c>
      <c r="R13" s="76"/>
      <c r="S13" s="77">
        <v>11080</v>
      </c>
      <c r="T13" s="76"/>
      <c r="U13" s="77">
        <v>12244532722</v>
      </c>
      <c r="V13" s="79"/>
      <c r="W13" s="77">
        <v>15392092240</v>
      </c>
      <c r="X13" s="79"/>
      <c r="Y13" s="80">
        <f t="shared" si="0"/>
        <v>0.56375709381862182</v>
      </c>
      <c r="Z13" s="23"/>
      <c r="AA13" s="23"/>
    </row>
    <row r="14" spans="1:27" ht="21.75" customHeight="1">
      <c r="A14" s="12" t="s">
        <v>146</v>
      </c>
      <c r="C14" s="77">
        <v>400000</v>
      </c>
      <c r="D14" s="76"/>
      <c r="E14" s="77">
        <v>23099336226</v>
      </c>
      <c r="F14" s="76"/>
      <c r="G14" s="77">
        <v>26465825440</v>
      </c>
      <c r="H14" s="76"/>
      <c r="I14" s="77">
        <v>0</v>
      </c>
      <c r="J14" s="76"/>
      <c r="K14" s="77">
        <v>0</v>
      </c>
      <c r="L14" s="76"/>
      <c r="M14" s="77">
        <v>-400000</v>
      </c>
      <c r="N14" s="76"/>
      <c r="O14" s="77">
        <v>25479509123</v>
      </c>
      <c r="P14" s="78"/>
      <c r="Q14" s="77">
        <f t="shared" si="1"/>
        <v>0</v>
      </c>
      <c r="R14" s="76"/>
      <c r="S14" s="77">
        <v>0</v>
      </c>
      <c r="T14" s="76"/>
      <c r="U14" s="77">
        <v>0</v>
      </c>
      <c r="V14" s="79"/>
      <c r="W14" s="77">
        <v>0</v>
      </c>
      <c r="X14" s="79"/>
      <c r="Y14" s="80">
        <f t="shared" si="0"/>
        <v>0</v>
      </c>
      <c r="Z14" s="23"/>
      <c r="AA14" s="23"/>
    </row>
    <row r="15" spans="1:27" ht="21.75" customHeight="1">
      <c r="A15" s="12" t="s">
        <v>147</v>
      </c>
      <c r="C15" s="77">
        <v>147597</v>
      </c>
      <c r="D15" s="76"/>
      <c r="E15" s="77">
        <v>23406879682</v>
      </c>
      <c r="F15" s="76"/>
      <c r="G15" s="77">
        <v>19888735010</v>
      </c>
      <c r="H15" s="76"/>
      <c r="I15" s="77">
        <v>0</v>
      </c>
      <c r="J15" s="76"/>
      <c r="K15" s="77">
        <v>0</v>
      </c>
      <c r="L15" s="76"/>
      <c r="M15" s="77">
        <v>-147597</v>
      </c>
      <c r="N15" s="76"/>
      <c r="O15" s="77">
        <v>19296084085</v>
      </c>
      <c r="P15" s="78"/>
      <c r="Q15" s="77">
        <f t="shared" si="1"/>
        <v>0</v>
      </c>
      <c r="R15" s="76"/>
      <c r="S15" s="77">
        <v>0</v>
      </c>
      <c r="T15" s="76"/>
      <c r="U15" s="77">
        <v>0</v>
      </c>
      <c r="V15" s="79"/>
      <c r="W15" s="77">
        <v>0</v>
      </c>
      <c r="X15" s="79"/>
      <c r="Y15" s="80">
        <f t="shared" si="0"/>
        <v>0</v>
      </c>
      <c r="Z15" s="23"/>
      <c r="AA15" s="23"/>
    </row>
    <row r="16" spans="1:27" ht="21.75" customHeight="1">
      <c r="A16" s="12" t="s">
        <v>11</v>
      </c>
      <c r="C16" s="77">
        <v>22860361</v>
      </c>
      <c r="D16" s="76"/>
      <c r="E16" s="77">
        <v>51871136679</v>
      </c>
      <c r="F16" s="76"/>
      <c r="G16" s="77">
        <v>61971732918</v>
      </c>
      <c r="H16" s="76"/>
      <c r="I16" s="77">
        <v>0</v>
      </c>
      <c r="J16" s="76"/>
      <c r="K16" s="77">
        <v>0</v>
      </c>
      <c r="L16" s="76"/>
      <c r="M16" s="77">
        <v>-4400000</v>
      </c>
      <c r="N16" s="76"/>
      <c r="O16" s="77">
        <v>11581378627</v>
      </c>
      <c r="P16" s="78"/>
      <c r="Q16" s="77">
        <f t="shared" si="1"/>
        <v>18460361</v>
      </c>
      <c r="R16" s="76"/>
      <c r="S16" s="77">
        <v>1883</v>
      </c>
      <c r="T16" s="76"/>
      <c r="U16" s="77">
        <v>41887348526</v>
      </c>
      <c r="V16" s="79"/>
      <c r="W16" s="77">
        <v>34492158317</v>
      </c>
      <c r="X16" s="79"/>
      <c r="Y16" s="80">
        <f t="shared" si="0"/>
        <v>1.2633239607147602</v>
      </c>
      <c r="Z16" s="23"/>
      <c r="AA16" s="23"/>
    </row>
    <row r="17" spans="1:27" ht="21.75" customHeight="1">
      <c r="A17" s="12" t="s">
        <v>12</v>
      </c>
      <c r="C17" s="77">
        <v>16192687</v>
      </c>
      <c r="D17" s="76"/>
      <c r="E17" s="77">
        <v>120014482426</v>
      </c>
      <c r="F17" s="76"/>
      <c r="G17" s="77">
        <v>207592326481</v>
      </c>
      <c r="H17" s="76"/>
      <c r="I17" s="77">
        <v>0</v>
      </c>
      <c r="J17" s="76"/>
      <c r="K17" s="77">
        <v>0</v>
      </c>
      <c r="L17" s="76"/>
      <c r="M17" s="77">
        <v>0</v>
      </c>
      <c r="N17" s="76"/>
      <c r="O17" s="77">
        <v>0</v>
      </c>
      <c r="P17" s="78"/>
      <c r="Q17" s="77">
        <f t="shared" si="1"/>
        <v>16192687</v>
      </c>
      <c r="R17" s="76"/>
      <c r="S17" s="77">
        <v>10470</v>
      </c>
      <c r="T17" s="76"/>
      <c r="U17" s="77">
        <v>120014482426</v>
      </c>
      <c r="V17" s="79"/>
      <c r="W17" s="77">
        <v>168226908533</v>
      </c>
      <c r="X17" s="79"/>
      <c r="Y17" s="80">
        <f t="shared" si="0"/>
        <v>6.1615478635317213</v>
      </c>
      <c r="Z17" s="23"/>
      <c r="AA17" s="23"/>
    </row>
    <row r="18" spans="1:27" ht="21.75" customHeight="1">
      <c r="A18" s="12" t="s">
        <v>13</v>
      </c>
      <c r="C18" s="77">
        <v>4041021</v>
      </c>
      <c r="D18" s="76"/>
      <c r="E18" s="77">
        <v>31828650703</v>
      </c>
      <c r="F18" s="76"/>
      <c r="G18" s="77">
        <v>41461165605</v>
      </c>
      <c r="H18" s="76"/>
      <c r="I18" s="77">
        <v>0</v>
      </c>
      <c r="J18" s="76"/>
      <c r="K18" s="77">
        <v>0</v>
      </c>
      <c r="L18" s="76"/>
      <c r="M18" s="77">
        <v>0</v>
      </c>
      <c r="N18" s="76"/>
      <c r="O18" s="77">
        <v>0</v>
      </c>
      <c r="P18" s="78"/>
      <c r="Q18" s="77">
        <f t="shared" si="1"/>
        <v>4041021</v>
      </c>
      <c r="R18" s="76"/>
      <c r="S18" s="77">
        <v>8630</v>
      </c>
      <c r="T18" s="76"/>
      <c r="U18" s="77">
        <v>31828650703</v>
      </c>
      <c r="V18" s="79"/>
      <c r="W18" s="77">
        <v>34604435123</v>
      </c>
      <c r="X18" s="79"/>
      <c r="Y18" s="80">
        <f t="shared" si="0"/>
        <v>1.2674362571372899</v>
      </c>
      <c r="Z18" s="23"/>
      <c r="AA18" s="23"/>
    </row>
    <row r="19" spans="1:27" ht="21.75" customHeight="1">
      <c r="A19" s="12" t="s">
        <v>78</v>
      </c>
      <c r="C19" s="77">
        <v>2300000</v>
      </c>
      <c r="D19" s="76"/>
      <c r="E19" s="77">
        <v>113695812831</v>
      </c>
      <c r="F19" s="76"/>
      <c r="G19" s="77">
        <v>89577174250</v>
      </c>
      <c r="H19" s="76"/>
      <c r="I19" s="77">
        <v>0</v>
      </c>
      <c r="J19" s="76"/>
      <c r="K19" s="77">
        <v>0</v>
      </c>
      <c r="L19" s="76"/>
      <c r="M19" s="77">
        <v>-2300000</v>
      </c>
      <c r="N19" s="76"/>
      <c r="O19" s="77">
        <v>86352205163</v>
      </c>
      <c r="P19" s="78"/>
      <c r="Q19" s="77">
        <f t="shared" si="1"/>
        <v>0</v>
      </c>
      <c r="R19" s="76"/>
      <c r="S19" s="77">
        <v>0</v>
      </c>
      <c r="T19" s="76"/>
      <c r="U19" s="77">
        <v>0</v>
      </c>
      <c r="V19" s="79"/>
      <c r="W19" s="77">
        <v>0</v>
      </c>
      <c r="X19" s="79"/>
      <c r="Y19" s="80">
        <f t="shared" si="0"/>
        <v>0</v>
      </c>
      <c r="Z19" s="23"/>
      <c r="AA19" s="23"/>
    </row>
    <row r="20" spans="1:27" ht="21.75" customHeight="1">
      <c r="A20" s="12" t="s">
        <v>148</v>
      </c>
      <c r="C20" s="77">
        <v>170686</v>
      </c>
      <c r="D20" s="76"/>
      <c r="E20" s="77">
        <v>39811913456</v>
      </c>
      <c r="F20" s="76"/>
      <c r="G20" s="77">
        <v>25799613754</v>
      </c>
      <c r="H20" s="76"/>
      <c r="I20" s="77">
        <v>0</v>
      </c>
      <c r="J20" s="76"/>
      <c r="K20" s="77">
        <v>0</v>
      </c>
      <c r="L20" s="76"/>
      <c r="M20" s="77">
        <v>-160686</v>
      </c>
      <c r="N20" s="76"/>
      <c r="O20" s="77">
        <v>23659954428</v>
      </c>
      <c r="P20" s="78"/>
      <c r="Q20" s="77">
        <f t="shared" si="1"/>
        <v>10000</v>
      </c>
      <c r="R20" s="76"/>
      <c r="S20" s="77">
        <v>172900</v>
      </c>
      <c r="T20" s="76"/>
      <c r="U20" s="77">
        <v>2332465080</v>
      </c>
      <c r="V20" s="79"/>
      <c r="W20" s="77">
        <v>1715634830</v>
      </c>
      <c r="X20" s="79"/>
      <c r="Y20" s="80">
        <f t="shared" si="0"/>
        <v>6.2837546107039524E-2</v>
      </c>
      <c r="Z20" s="23"/>
      <c r="AA20" s="23"/>
    </row>
    <row r="21" spans="1:27" ht="21.75" customHeight="1">
      <c r="A21" s="12" t="s">
        <v>150</v>
      </c>
      <c r="C21" s="77">
        <v>2573729</v>
      </c>
      <c r="D21" s="76"/>
      <c r="E21" s="77">
        <v>26675019271</v>
      </c>
      <c r="F21" s="76"/>
      <c r="G21" s="77">
        <v>39431198115</v>
      </c>
      <c r="H21" s="76"/>
      <c r="I21" s="77">
        <v>800000</v>
      </c>
      <c r="J21" s="76"/>
      <c r="K21" s="77">
        <v>11069410511</v>
      </c>
      <c r="L21" s="76"/>
      <c r="M21" s="77">
        <v>0</v>
      </c>
      <c r="N21" s="76"/>
      <c r="O21" s="77">
        <v>0</v>
      </c>
      <c r="P21" s="78"/>
      <c r="Q21" s="77">
        <f t="shared" si="1"/>
        <v>3373729</v>
      </c>
      <c r="R21" s="76"/>
      <c r="S21" s="77">
        <v>17950</v>
      </c>
      <c r="T21" s="76"/>
      <c r="U21" s="77">
        <v>37744429782</v>
      </c>
      <c r="V21" s="79"/>
      <c r="W21" s="77">
        <v>60090318843</v>
      </c>
      <c r="X21" s="79"/>
      <c r="Y21" s="80">
        <f t="shared" si="0"/>
        <v>2.2008927044712179</v>
      </c>
      <c r="Z21" s="23"/>
      <c r="AA21" s="23"/>
    </row>
    <row r="22" spans="1:27" ht="21.75" customHeight="1">
      <c r="A22" s="12" t="s">
        <v>14</v>
      </c>
      <c r="C22" s="77">
        <v>2983927</v>
      </c>
      <c r="D22" s="76"/>
      <c r="E22" s="77">
        <v>15214011271</v>
      </c>
      <c r="F22" s="76"/>
      <c r="G22" s="77">
        <v>13688061532</v>
      </c>
      <c r="H22" s="76"/>
      <c r="I22" s="77">
        <v>0</v>
      </c>
      <c r="J22" s="76"/>
      <c r="K22" s="77">
        <v>0</v>
      </c>
      <c r="L22" s="76"/>
      <c r="M22" s="77">
        <v>0</v>
      </c>
      <c r="N22" s="76"/>
      <c r="O22" s="77">
        <v>0</v>
      </c>
      <c r="P22" s="78"/>
      <c r="Q22" s="77">
        <f t="shared" si="1"/>
        <v>2983927</v>
      </c>
      <c r="R22" s="76"/>
      <c r="S22" s="77">
        <v>4490</v>
      </c>
      <c r="T22" s="76"/>
      <c r="U22" s="77">
        <v>15214011271</v>
      </c>
      <c r="V22" s="79"/>
      <c r="W22" s="77">
        <v>13294266986</v>
      </c>
      <c r="X22" s="79"/>
      <c r="Y22" s="80">
        <f t="shared" si="0"/>
        <v>0.48692128422927178</v>
      </c>
      <c r="Z22" s="23"/>
      <c r="AA22" s="23"/>
    </row>
    <row r="23" spans="1:27" ht="21.75" customHeight="1">
      <c r="A23" s="12" t="s">
        <v>135</v>
      </c>
      <c r="C23" s="77">
        <v>251585</v>
      </c>
      <c r="D23" s="76"/>
      <c r="E23" s="77">
        <v>16162232517</v>
      </c>
      <c r="F23" s="76"/>
      <c r="G23" s="77">
        <v>14429206331</v>
      </c>
      <c r="H23" s="76"/>
      <c r="I23" s="77">
        <v>0</v>
      </c>
      <c r="J23" s="76"/>
      <c r="K23" s="77">
        <v>0</v>
      </c>
      <c r="L23" s="76"/>
      <c r="M23" s="77">
        <v>0</v>
      </c>
      <c r="N23" s="76"/>
      <c r="O23" s="77">
        <v>0</v>
      </c>
      <c r="P23" s="78"/>
      <c r="Q23" s="77">
        <f t="shared" si="1"/>
        <v>251585</v>
      </c>
      <c r="R23" s="76"/>
      <c r="S23" s="77">
        <v>50230</v>
      </c>
      <c r="T23" s="76"/>
      <c r="U23" s="77">
        <v>16162232517</v>
      </c>
      <c r="V23" s="79"/>
      <c r="W23" s="77">
        <v>12539429654</v>
      </c>
      <c r="X23" s="79"/>
      <c r="Y23" s="80">
        <f t="shared" si="0"/>
        <v>0.45927430200236941</v>
      </c>
      <c r="Z23" s="23"/>
      <c r="AA23" s="23"/>
    </row>
    <row r="24" spans="1:27" ht="21.75" customHeight="1">
      <c r="A24" s="12" t="s">
        <v>15</v>
      </c>
      <c r="C24" s="77">
        <v>2730605</v>
      </c>
      <c r="D24" s="76"/>
      <c r="E24" s="77">
        <v>82136753441</v>
      </c>
      <c r="F24" s="76"/>
      <c r="G24" s="77">
        <v>158912023879</v>
      </c>
      <c r="H24" s="76"/>
      <c r="I24" s="77">
        <v>0</v>
      </c>
      <c r="J24" s="76"/>
      <c r="K24" s="77">
        <v>0</v>
      </c>
      <c r="L24" s="76"/>
      <c r="M24" s="77">
        <v>0</v>
      </c>
      <c r="N24" s="76"/>
      <c r="O24" s="77">
        <v>0</v>
      </c>
      <c r="P24" s="78"/>
      <c r="Q24" s="77">
        <f t="shared" si="1"/>
        <v>2730605</v>
      </c>
      <c r="R24" s="76"/>
      <c r="S24" s="77">
        <v>48110</v>
      </c>
      <c r="T24" s="76"/>
      <c r="U24" s="77">
        <v>82136753441</v>
      </c>
      <c r="V24" s="79"/>
      <c r="W24" s="77">
        <v>130353921037</v>
      </c>
      <c r="X24" s="79"/>
      <c r="Y24" s="80">
        <f t="shared" si="0"/>
        <v>4.7743962643821334</v>
      </c>
      <c r="Z24" s="23"/>
      <c r="AA24" s="23"/>
    </row>
    <row r="25" spans="1:27" ht="21.75" customHeight="1">
      <c r="A25" s="12" t="s">
        <v>16</v>
      </c>
      <c r="C25" s="77">
        <v>138131</v>
      </c>
      <c r="D25" s="76"/>
      <c r="E25" s="77">
        <v>12015849482</v>
      </c>
      <c r="F25" s="76"/>
      <c r="G25" s="77">
        <v>12679721014</v>
      </c>
      <c r="H25" s="76"/>
      <c r="I25" s="77">
        <v>0</v>
      </c>
      <c r="J25" s="76"/>
      <c r="K25" s="77">
        <v>0</v>
      </c>
      <c r="L25" s="76"/>
      <c r="M25" s="77">
        <v>0</v>
      </c>
      <c r="N25" s="76"/>
      <c r="O25" s="77">
        <v>0</v>
      </c>
      <c r="P25" s="78"/>
      <c r="Q25" s="77">
        <f t="shared" si="1"/>
        <v>138131</v>
      </c>
      <c r="R25" s="76"/>
      <c r="S25" s="77">
        <v>92510</v>
      </c>
      <c r="T25" s="76"/>
      <c r="U25" s="77">
        <v>12015849482</v>
      </c>
      <c r="V25" s="79"/>
      <c r="W25" s="77">
        <v>12679721014</v>
      </c>
      <c r="X25" s="79"/>
      <c r="Y25" s="80">
        <f t="shared" si="0"/>
        <v>0.46441267098874589</v>
      </c>
      <c r="Z25" s="23"/>
      <c r="AA25" s="23"/>
    </row>
    <row r="26" spans="1:27" ht="21.75" customHeight="1">
      <c r="A26" s="12" t="s">
        <v>17</v>
      </c>
      <c r="C26" s="77">
        <v>1019446</v>
      </c>
      <c r="D26" s="76"/>
      <c r="E26" s="77">
        <v>23163688107</v>
      </c>
      <c r="F26" s="76"/>
      <c r="G26" s="77">
        <v>69646297234</v>
      </c>
      <c r="H26" s="76"/>
      <c r="I26" s="77">
        <v>0</v>
      </c>
      <c r="J26" s="76"/>
      <c r="K26" s="77">
        <v>0</v>
      </c>
      <c r="L26" s="76"/>
      <c r="M26" s="77">
        <v>0</v>
      </c>
      <c r="N26" s="76"/>
      <c r="O26" s="77">
        <v>0</v>
      </c>
      <c r="P26" s="78"/>
      <c r="Q26" s="77">
        <f t="shared" si="1"/>
        <v>1019446</v>
      </c>
      <c r="R26" s="76"/>
      <c r="S26" s="77">
        <v>61410</v>
      </c>
      <c r="T26" s="76"/>
      <c r="U26" s="77">
        <v>23163688107</v>
      </c>
      <c r="V26" s="79"/>
      <c r="W26" s="77">
        <v>62120248557</v>
      </c>
      <c r="X26" s="79"/>
      <c r="Y26" s="80">
        <f t="shared" si="0"/>
        <v>2.2752417441194308</v>
      </c>
      <c r="Z26" s="23"/>
      <c r="AA26" s="23"/>
    </row>
    <row r="27" spans="1:27" ht="21.75" customHeight="1">
      <c r="A27" s="12" t="s">
        <v>18</v>
      </c>
      <c r="C27" s="77">
        <v>1809644</v>
      </c>
      <c r="D27" s="76"/>
      <c r="E27" s="77">
        <v>59270809405</v>
      </c>
      <c r="F27" s="76"/>
      <c r="G27" s="77">
        <v>63655985769</v>
      </c>
      <c r="H27" s="76"/>
      <c r="I27" s="77">
        <v>0</v>
      </c>
      <c r="J27" s="76"/>
      <c r="K27" s="77">
        <v>0</v>
      </c>
      <c r="L27" s="76"/>
      <c r="M27" s="77">
        <v>-150000</v>
      </c>
      <c r="N27" s="76"/>
      <c r="O27" s="77">
        <v>5172229823</v>
      </c>
      <c r="P27" s="78"/>
      <c r="Q27" s="77">
        <f t="shared" si="1"/>
        <v>1659644</v>
      </c>
      <c r="R27" s="76"/>
      <c r="S27" s="77">
        <v>26380</v>
      </c>
      <c r="T27" s="76"/>
      <c r="U27" s="77">
        <v>54357897573</v>
      </c>
      <c r="V27" s="79"/>
      <c r="W27" s="77">
        <v>43442978430</v>
      </c>
      <c r="X27" s="79"/>
      <c r="Y27" s="80">
        <f t="shared" si="0"/>
        <v>1.5911603753825916</v>
      </c>
      <c r="Z27" s="23"/>
      <c r="AA27" s="23"/>
    </row>
    <row r="28" spans="1:27" ht="21.75" customHeight="1">
      <c r="A28" s="12" t="s">
        <v>19</v>
      </c>
      <c r="C28" s="77">
        <v>6054099</v>
      </c>
      <c r="D28" s="76"/>
      <c r="E28" s="77">
        <v>45545868936</v>
      </c>
      <c r="F28" s="76"/>
      <c r="G28" s="77">
        <v>70105200507</v>
      </c>
      <c r="H28" s="76"/>
      <c r="I28" s="77">
        <v>0</v>
      </c>
      <c r="J28" s="76"/>
      <c r="K28" s="77">
        <v>0</v>
      </c>
      <c r="L28" s="76"/>
      <c r="M28" s="77">
        <v>0</v>
      </c>
      <c r="N28" s="76"/>
      <c r="O28" s="77">
        <v>0</v>
      </c>
      <c r="P28" s="78"/>
      <c r="Q28" s="77">
        <f t="shared" si="1"/>
        <v>6054099</v>
      </c>
      <c r="R28" s="76"/>
      <c r="S28" s="77">
        <v>8340</v>
      </c>
      <c r="T28" s="76"/>
      <c r="U28" s="77">
        <v>45545868936</v>
      </c>
      <c r="V28" s="79"/>
      <c r="W28" s="77">
        <v>50100888794</v>
      </c>
      <c r="X28" s="79"/>
      <c r="Y28" s="80">
        <f t="shared" si="0"/>
        <v>1.8350157356018675</v>
      </c>
      <c r="Z28" s="23"/>
      <c r="AA28" s="23"/>
    </row>
    <row r="29" spans="1:27" ht="21.75" customHeight="1">
      <c r="A29" s="12" t="s">
        <v>20</v>
      </c>
      <c r="C29" s="77">
        <v>1600000</v>
      </c>
      <c r="D29" s="76"/>
      <c r="E29" s="77">
        <v>4831452247</v>
      </c>
      <c r="F29" s="76"/>
      <c r="G29" s="77">
        <v>3135573200</v>
      </c>
      <c r="H29" s="76"/>
      <c r="I29" s="77">
        <v>0</v>
      </c>
      <c r="J29" s="76"/>
      <c r="K29" s="77">
        <v>0</v>
      </c>
      <c r="L29" s="76"/>
      <c r="M29" s="77">
        <v>0</v>
      </c>
      <c r="N29" s="76"/>
      <c r="O29" s="77">
        <v>0</v>
      </c>
      <c r="P29" s="78"/>
      <c r="Q29" s="77">
        <f t="shared" si="1"/>
        <v>1600000</v>
      </c>
      <c r="R29" s="76"/>
      <c r="S29" s="77">
        <v>2183</v>
      </c>
      <c r="T29" s="76"/>
      <c r="U29" s="77">
        <v>4831452247</v>
      </c>
      <c r="V29" s="79"/>
      <c r="W29" s="77">
        <v>3465800656</v>
      </c>
      <c r="X29" s="79"/>
      <c r="Y29" s="80">
        <f t="shared" si="0"/>
        <v>0.1269398386597268</v>
      </c>
      <c r="Z29" s="23"/>
      <c r="AA29" s="23"/>
    </row>
    <row r="30" spans="1:27" ht="21.75" customHeight="1">
      <c r="A30" s="12" t="s">
        <v>21</v>
      </c>
      <c r="C30" s="77">
        <v>3144957</v>
      </c>
      <c r="D30" s="76"/>
      <c r="E30" s="77">
        <v>17152112059</v>
      </c>
      <c r="F30" s="76"/>
      <c r="G30" s="77">
        <v>22905545180</v>
      </c>
      <c r="H30" s="76"/>
      <c r="I30" s="77">
        <v>0</v>
      </c>
      <c r="J30" s="76"/>
      <c r="K30" s="77">
        <v>0</v>
      </c>
      <c r="L30" s="76"/>
      <c r="M30" s="77">
        <v>0</v>
      </c>
      <c r="N30" s="76"/>
      <c r="O30" s="77">
        <v>0</v>
      </c>
      <c r="P30" s="78"/>
      <c r="Q30" s="77">
        <f t="shared" si="1"/>
        <v>3144957</v>
      </c>
      <c r="R30" s="76"/>
      <c r="S30" s="77">
        <v>6000</v>
      </c>
      <c r="T30" s="76"/>
      <c r="U30" s="77">
        <v>17152112059</v>
      </c>
      <c r="V30" s="79"/>
      <c r="W30" s="77">
        <v>18723878894</v>
      </c>
      <c r="X30" s="79"/>
      <c r="Y30" s="80">
        <f t="shared" si="0"/>
        <v>0.68578848058496755</v>
      </c>
      <c r="Z30" s="23"/>
      <c r="AA30" s="23"/>
    </row>
    <row r="31" spans="1:27" ht="21.75" customHeight="1">
      <c r="A31" s="12" t="s">
        <v>22</v>
      </c>
      <c r="C31" s="77">
        <v>375619</v>
      </c>
      <c r="D31" s="76"/>
      <c r="E31" s="77">
        <v>1457014160</v>
      </c>
      <c r="F31" s="76"/>
      <c r="G31" s="77">
        <v>1736854067</v>
      </c>
      <c r="H31" s="76"/>
      <c r="I31" s="77">
        <v>0</v>
      </c>
      <c r="J31" s="76"/>
      <c r="K31" s="77">
        <v>0</v>
      </c>
      <c r="L31" s="76"/>
      <c r="M31" s="77">
        <v>0</v>
      </c>
      <c r="N31" s="76"/>
      <c r="O31" s="77">
        <v>0</v>
      </c>
      <c r="P31" s="78"/>
      <c r="Q31" s="77">
        <f t="shared" si="1"/>
        <v>375619</v>
      </c>
      <c r="R31" s="76"/>
      <c r="S31" s="77">
        <v>4910</v>
      </c>
      <c r="T31" s="76"/>
      <c r="U31" s="77">
        <v>1457014160</v>
      </c>
      <c r="V31" s="79"/>
      <c r="W31" s="77">
        <v>1830032933</v>
      </c>
      <c r="X31" s="79"/>
      <c r="Y31" s="80">
        <f t="shared" si="0"/>
        <v>6.702753802497019E-2</v>
      </c>
      <c r="Z31" s="23"/>
      <c r="AA31" s="23"/>
    </row>
    <row r="32" spans="1:27" ht="21.75" customHeight="1">
      <c r="A32" s="12" t="s">
        <v>23</v>
      </c>
      <c r="C32" s="77">
        <v>6026569</v>
      </c>
      <c r="D32" s="76"/>
      <c r="E32" s="77">
        <v>106275159070</v>
      </c>
      <c r="F32" s="76"/>
      <c r="G32" s="77">
        <v>154163977765</v>
      </c>
      <c r="H32" s="76"/>
      <c r="I32" s="77">
        <v>390000</v>
      </c>
      <c r="J32" s="76"/>
      <c r="K32" s="77">
        <v>11746810258</v>
      </c>
      <c r="L32" s="76"/>
      <c r="M32" s="77">
        <v>0</v>
      </c>
      <c r="N32" s="76"/>
      <c r="O32" s="77">
        <v>0</v>
      </c>
      <c r="P32" s="78"/>
      <c r="Q32" s="77">
        <f t="shared" si="1"/>
        <v>6416569</v>
      </c>
      <c r="R32" s="76"/>
      <c r="S32" s="77">
        <v>26920</v>
      </c>
      <c r="T32" s="76"/>
      <c r="U32" s="77">
        <v>118021969328</v>
      </c>
      <c r="V32" s="79"/>
      <c r="W32" s="77">
        <v>171398803370</v>
      </c>
      <c r="X32" s="79"/>
      <c r="Y32" s="80">
        <f t="shared" si="0"/>
        <v>6.2777229869212761</v>
      </c>
      <c r="Z32" s="23"/>
      <c r="AA32" s="23"/>
    </row>
    <row r="33" spans="1:27" ht="21.75" customHeight="1">
      <c r="A33" s="12" t="s">
        <v>175</v>
      </c>
      <c r="C33" s="77">
        <v>1200000</v>
      </c>
      <c r="D33" s="76"/>
      <c r="E33" s="77">
        <v>3503709052</v>
      </c>
      <c r="F33" s="76"/>
      <c r="G33" s="77">
        <v>3835322004</v>
      </c>
      <c r="H33" s="76"/>
      <c r="I33" s="77">
        <v>0</v>
      </c>
      <c r="J33" s="76"/>
      <c r="K33" s="77">
        <v>0</v>
      </c>
      <c r="L33" s="76"/>
      <c r="M33" s="77">
        <v>-1200000</v>
      </c>
      <c r="N33" s="76"/>
      <c r="O33" s="77">
        <v>3610275192</v>
      </c>
      <c r="P33" s="78"/>
      <c r="Q33" s="77">
        <f t="shared" si="1"/>
        <v>0</v>
      </c>
      <c r="R33" s="76"/>
      <c r="S33" s="77">
        <v>0</v>
      </c>
      <c r="T33" s="76"/>
      <c r="U33" s="77">
        <v>0</v>
      </c>
      <c r="V33" s="79"/>
      <c r="W33" s="77">
        <v>0</v>
      </c>
      <c r="X33" s="79"/>
      <c r="Y33" s="80">
        <f t="shared" si="0"/>
        <v>0</v>
      </c>
      <c r="Z33" s="23"/>
      <c r="AA33" s="23"/>
    </row>
    <row r="34" spans="1:27" ht="21.75" customHeight="1">
      <c r="A34" s="12" t="s">
        <v>24</v>
      </c>
      <c r="C34" s="77">
        <v>198243</v>
      </c>
      <c r="D34" s="76"/>
      <c r="E34" s="77">
        <v>6663887337</v>
      </c>
      <c r="F34" s="76"/>
      <c r="G34" s="77">
        <v>8517568183</v>
      </c>
      <c r="H34" s="76"/>
      <c r="I34" s="77">
        <v>0</v>
      </c>
      <c r="J34" s="76"/>
      <c r="K34" s="77">
        <v>0</v>
      </c>
      <c r="L34" s="76"/>
      <c r="M34" s="77">
        <v>0</v>
      </c>
      <c r="N34" s="76"/>
      <c r="O34" s="77">
        <v>0</v>
      </c>
      <c r="P34" s="78"/>
      <c r="Q34" s="77">
        <f t="shared" si="1"/>
        <v>198243</v>
      </c>
      <c r="R34" s="76"/>
      <c r="S34" s="77">
        <v>40250</v>
      </c>
      <c r="T34" s="76"/>
      <c r="U34" s="77">
        <v>6663887337</v>
      </c>
      <c r="V34" s="79"/>
      <c r="W34" s="77">
        <v>7917600909</v>
      </c>
      <c r="X34" s="79"/>
      <c r="Y34" s="80">
        <f t="shared" si="0"/>
        <v>0.28999330363118447</v>
      </c>
      <c r="Z34" s="23"/>
      <c r="AA34" s="23"/>
    </row>
    <row r="35" spans="1:27" ht="21.75" customHeight="1">
      <c r="A35" s="12" t="s">
        <v>176</v>
      </c>
      <c r="C35" s="77">
        <v>800000</v>
      </c>
      <c r="D35" s="76"/>
      <c r="E35" s="77">
        <v>12496954816</v>
      </c>
      <c r="F35" s="76"/>
      <c r="G35" s="77">
        <v>11041980560</v>
      </c>
      <c r="H35" s="76"/>
      <c r="I35" s="77">
        <v>0</v>
      </c>
      <c r="J35" s="76"/>
      <c r="K35" s="77">
        <v>0</v>
      </c>
      <c r="L35" s="76"/>
      <c r="M35" s="77">
        <v>0</v>
      </c>
      <c r="N35" s="76"/>
      <c r="O35" s="77">
        <v>0</v>
      </c>
      <c r="P35" s="78"/>
      <c r="Q35" s="77">
        <f t="shared" si="1"/>
        <v>800000</v>
      </c>
      <c r="R35" s="76"/>
      <c r="S35" s="77">
        <v>9580</v>
      </c>
      <c r="T35" s="76"/>
      <c r="U35" s="77">
        <v>12496954816</v>
      </c>
      <c r="V35" s="79"/>
      <c r="W35" s="77">
        <v>7604757280</v>
      </c>
      <c r="X35" s="79"/>
      <c r="Y35" s="80">
        <f t="shared" si="0"/>
        <v>0.27853496435185132</v>
      </c>
      <c r="Z35" s="23"/>
      <c r="AA35" s="23"/>
    </row>
    <row r="36" spans="1:27" ht="21.75" customHeight="1">
      <c r="A36" s="12" t="s">
        <v>177</v>
      </c>
      <c r="C36" s="77">
        <v>100000</v>
      </c>
      <c r="D36" s="76"/>
      <c r="E36" s="77">
        <v>1185148841</v>
      </c>
      <c r="F36" s="76"/>
      <c r="G36" s="77">
        <v>1392154810</v>
      </c>
      <c r="H36" s="76"/>
      <c r="I36" s="77">
        <v>0</v>
      </c>
      <c r="J36" s="76"/>
      <c r="K36" s="77">
        <v>0</v>
      </c>
      <c r="L36" s="76"/>
      <c r="M36" s="77">
        <v>-100000</v>
      </c>
      <c r="N36" s="76"/>
      <c r="O36" s="77">
        <v>1403069799</v>
      </c>
      <c r="P36" s="78"/>
      <c r="Q36" s="77">
        <f t="shared" si="1"/>
        <v>0</v>
      </c>
      <c r="R36" s="76"/>
      <c r="S36" s="77">
        <v>0</v>
      </c>
      <c r="T36" s="76"/>
      <c r="U36" s="77">
        <v>0</v>
      </c>
      <c r="V36" s="79"/>
      <c r="W36" s="77">
        <v>0</v>
      </c>
      <c r="X36" s="79"/>
      <c r="Y36" s="80">
        <f t="shared" si="0"/>
        <v>0</v>
      </c>
      <c r="Z36" s="23"/>
      <c r="AA36" s="23"/>
    </row>
    <row r="37" spans="1:27" ht="21.75" customHeight="1">
      <c r="A37" s="12" t="s">
        <v>25</v>
      </c>
      <c r="C37" s="77">
        <v>32498068</v>
      </c>
      <c r="D37" s="76"/>
      <c r="E37" s="77">
        <v>269235255111</v>
      </c>
      <c r="F37" s="76"/>
      <c r="G37" s="77">
        <v>405020535655</v>
      </c>
      <c r="H37" s="76"/>
      <c r="I37" s="77">
        <v>0</v>
      </c>
      <c r="J37" s="76"/>
      <c r="K37" s="77">
        <v>0</v>
      </c>
      <c r="L37" s="76"/>
      <c r="M37" s="77">
        <v>-1000000</v>
      </c>
      <c r="N37" s="76"/>
      <c r="O37" s="77">
        <v>12720901464</v>
      </c>
      <c r="P37" s="78"/>
      <c r="Q37" s="77">
        <f t="shared" si="1"/>
        <v>31498068</v>
      </c>
      <c r="R37" s="76"/>
      <c r="S37" s="77">
        <v>10400</v>
      </c>
      <c r="T37" s="76"/>
      <c r="U37" s="77">
        <v>260950600924</v>
      </c>
      <c r="V37" s="79"/>
      <c r="W37" s="77">
        <v>325047714517</v>
      </c>
      <c r="X37" s="79"/>
      <c r="Y37" s="80">
        <f t="shared" si="0"/>
        <v>11.905331129206445</v>
      </c>
      <c r="Z37" s="23"/>
      <c r="AA37" s="23"/>
    </row>
    <row r="38" spans="1:27" ht="21.75" customHeight="1">
      <c r="A38" s="12" t="s">
        <v>26</v>
      </c>
      <c r="C38" s="77">
        <v>17812437</v>
      </c>
      <c r="D38" s="76"/>
      <c r="E38" s="77">
        <v>42239676858</v>
      </c>
      <c r="F38" s="76"/>
      <c r="G38" s="77">
        <v>97564602678</v>
      </c>
      <c r="H38" s="76"/>
      <c r="I38" s="77">
        <v>1800000</v>
      </c>
      <c r="J38" s="76"/>
      <c r="K38" s="77">
        <v>11333887738</v>
      </c>
      <c r="L38" s="76"/>
      <c r="M38" s="77">
        <v>0</v>
      </c>
      <c r="N38" s="76"/>
      <c r="O38" s="77">
        <v>0</v>
      </c>
      <c r="P38" s="78"/>
      <c r="Q38" s="77">
        <f t="shared" si="1"/>
        <v>19612437</v>
      </c>
      <c r="R38" s="76"/>
      <c r="S38" s="77">
        <v>5250</v>
      </c>
      <c r="T38" s="76"/>
      <c r="U38" s="77">
        <v>53573564596</v>
      </c>
      <c r="V38" s="79"/>
      <c r="W38" s="77">
        <v>102169372525</v>
      </c>
      <c r="X38" s="79"/>
      <c r="Y38" s="80">
        <f t="shared" si="0"/>
        <v>3.7420974117009411</v>
      </c>
      <c r="Z38" s="23"/>
      <c r="AA38" s="23"/>
    </row>
    <row r="39" spans="1:27" ht="21.75" customHeight="1">
      <c r="A39" s="12" t="s">
        <v>27</v>
      </c>
      <c r="C39" s="77">
        <v>36955535</v>
      </c>
      <c r="D39" s="76"/>
      <c r="E39" s="77">
        <v>71358229564</v>
      </c>
      <c r="F39" s="76"/>
      <c r="G39" s="77">
        <v>65162356705</v>
      </c>
      <c r="H39" s="76"/>
      <c r="I39" s="77">
        <v>0</v>
      </c>
      <c r="J39" s="76"/>
      <c r="K39" s="77">
        <v>0</v>
      </c>
      <c r="L39" s="76"/>
      <c r="M39" s="77">
        <v>0</v>
      </c>
      <c r="N39" s="76"/>
      <c r="O39" s="77">
        <v>0</v>
      </c>
      <c r="P39" s="78"/>
      <c r="Q39" s="77">
        <f t="shared" si="1"/>
        <v>36955535</v>
      </c>
      <c r="R39" s="76"/>
      <c r="S39" s="77">
        <v>1712</v>
      </c>
      <c r="T39" s="76"/>
      <c r="U39" s="77">
        <v>71358229564</v>
      </c>
      <c r="V39" s="79"/>
      <c r="W39" s="77">
        <v>62778815239</v>
      </c>
      <c r="X39" s="79"/>
      <c r="Y39" s="80">
        <f t="shared" si="0"/>
        <v>2.2993626779691678</v>
      </c>
      <c r="Z39" s="23"/>
      <c r="AA39" s="23"/>
    </row>
    <row r="40" spans="1:27" ht="21.75" customHeight="1">
      <c r="A40" s="12" t="s">
        <v>28</v>
      </c>
      <c r="C40" s="77">
        <v>10529785</v>
      </c>
      <c r="D40" s="76"/>
      <c r="E40" s="77">
        <v>229588851979</v>
      </c>
      <c r="F40" s="76"/>
      <c r="G40" s="77">
        <v>302480883608</v>
      </c>
      <c r="H40" s="76"/>
      <c r="I40" s="77">
        <v>200000</v>
      </c>
      <c r="J40" s="76"/>
      <c r="K40" s="77">
        <v>5588849122</v>
      </c>
      <c r="L40" s="76"/>
      <c r="M40" s="77">
        <v>0</v>
      </c>
      <c r="N40" s="76"/>
      <c r="O40" s="77">
        <v>0</v>
      </c>
      <c r="P40" s="78"/>
      <c r="Q40" s="77">
        <f t="shared" si="1"/>
        <v>10729785</v>
      </c>
      <c r="R40" s="76"/>
      <c r="S40" s="77">
        <v>23410</v>
      </c>
      <c r="T40" s="76"/>
      <c r="U40" s="77">
        <v>235177701101</v>
      </c>
      <c r="V40" s="79"/>
      <c r="W40" s="77">
        <v>249242612467</v>
      </c>
      <c r="X40" s="79"/>
      <c r="Y40" s="80">
        <f t="shared" si="0"/>
        <v>9.1288623189901656</v>
      </c>
      <c r="Z40" s="23"/>
      <c r="AA40" s="23"/>
    </row>
    <row r="41" spans="1:27" ht="21.75" customHeight="1">
      <c r="A41" s="12" t="s">
        <v>29</v>
      </c>
      <c r="C41" s="77">
        <v>8628591</v>
      </c>
      <c r="D41" s="76"/>
      <c r="E41" s="77">
        <v>26355964900</v>
      </c>
      <c r="F41" s="76"/>
      <c r="G41" s="77">
        <v>32946160383</v>
      </c>
      <c r="H41" s="76"/>
      <c r="I41" s="77">
        <v>0</v>
      </c>
      <c r="J41" s="76"/>
      <c r="K41" s="77">
        <v>0</v>
      </c>
      <c r="L41" s="76"/>
      <c r="M41" s="77">
        <v>0</v>
      </c>
      <c r="N41" s="76"/>
      <c r="O41" s="77">
        <v>0</v>
      </c>
      <c r="P41" s="78"/>
      <c r="Q41" s="77">
        <f t="shared" si="1"/>
        <v>8628591</v>
      </c>
      <c r="R41" s="76"/>
      <c r="S41" s="77">
        <v>4370</v>
      </c>
      <c r="T41" s="76"/>
      <c r="U41" s="77">
        <v>26355964900</v>
      </c>
      <c r="V41" s="79"/>
      <c r="W41" s="77">
        <v>37415468003</v>
      </c>
      <c r="X41" s="79"/>
      <c r="Y41" s="80">
        <f t="shared" si="0"/>
        <v>1.3703943022391161</v>
      </c>
      <c r="Z41" s="23"/>
      <c r="AA41" s="23"/>
    </row>
    <row r="42" spans="1:27" ht="21.75" customHeight="1">
      <c r="A42" s="12" t="s">
        <v>178</v>
      </c>
      <c r="C42" s="77">
        <v>400000</v>
      </c>
      <c r="D42" s="76"/>
      <c r="E42" s="77">
        <v>4122954355</v>
      </c>
      <c r="F42" s="76"/>
      <c r="G42" s="77">
        <v>5882176560</v>
      </c>
      <c r="H42" s="76"/>
      <c r="I42" s="77">
        <v>0</v>
      </c>
      <c r="J42" s="76"/>
      <c r="K42" s="77">
        <v>0</v>
      </c>
      <c r="L42" s="76"/>
      <c r="M42" s="77">
        <v>-400000</v>
      </c>
      <c r="N42" s="76"/>
      <c r="O42" s="77">
        <v>7684138946</v>
      </c>
      <c r="P42" s="78"/>
      <c r="Q42" s="77">
        <f t="shared" si="1"/>
        <v>0</v>
      </c>
      <c r="R42" s="76"/>
      <c r="S42" s="77">
        <v>0</v>
      </c>
      <c r="T42" s="76"/>
      <c r="U42" s="77">
        <v>0</v>
      </c>
      <c r="V42" s="79"/>
      <c r="W42" s="77">
        <v>0</v>
      </c>
      <c r="X42" s="79"/>
      <c r="Y42" s="80">
        <f t="shared" si="0"/>
        <v>0</v>
      </c>
      <c r="Z42" s="23"/>
      <c r="AA42" s="23"/>
    </row>
    <row r="43" spans="1:27" ht="21.75" customHeight="1">
      <c r="A43" s="12" t="s">
        <v>30</v>
      </c>
      <c r="C43" s="77">
        <v>392907</v>
      </c>
      <c r="D43" s="76"/>
      <c r="E43" s="77">
        <v>6528136794</v>
      </c>
      <c r="F43" s="76"/>
      <c r="G43" s="77">
        <v>10721420294</v>
      </c>
      <c r="H43" s="76"/>
      <c r="I43" s="77">
        <v>0</v>
      </c>
      <c r="J43" s="76"/>
      <c r="K43" s="77">
        <v>0</v>
      </c>
      <c r="L43" s="76"/>
      <c r="M43" s="77">
        <v>0</v>
      </c>
      <c r="N43" s="76"/>
      <c r="O43" s="77">
        <v>0</v>
      </c>
      <c r="P43" s="78"/>
      <c r="Q43" s="77">
        <f t="shared" si="1"/>
        <v>392907</v>
      </c>
      <c r="R43" s="76"/>
      <c r="S43" s="77">
        <v>34090</v>
      </c>
      <c r="T43" s="76"/>
      <c r="U43" s="77">
        <v>6528136794</v>
      </c>
      <c r="V43" s="79"/>
      <c r="W43" s="77">
        <v>13290662466</v>
      </c>
      <c r="X43" s="79"/>
      <c r="Y43" s="80">
        <f t="shared" si="0"/>
        <v>0.48678926359892954</v>
      </c>
      <c r="Z43" s="23"/>
      <c r="AA43" s="23"/>
    </row>
    <row r="44" spans="1:27" ht="21.75" customHeight="1">
      <c r="A44" s="12" t="s">
        <v>31</v>
      </c>
      <c r="C44" s="77">
        <v>1200000</v>
      </c>
      <c r="D44" s="76"/>
      <c r="E44" s="77">
        <v>19657750724</v>
      </c>
      <c r="F44" s="76"/>
      <c r="G44" s="77">
        <v>31982846640</v>
      </c>
      <c r="H44" s="76"/>
      <c r="I44" s="77">
        <v>0</v>
      </c>
      <c r="J44" s="76"/>
      <c r="K44" s="77">
        <v>0</v>
      </c>
      <c r="L44" s="76"/>
      <c r="M44" s="77">
        <v>0</v>
      </c>
      <c r="N44" s="76"/>
      <c r="O44" s="77">
        <v>0</v>
      </c>
      <c r="P44" s="78"/>
      <c r="Q44" s="77">
        <f t="shared" si="1"/>
        <v>1200000</v>
      </c>
      <c r="R44" s="76"/>
      <c r="S44" s="77">
        <v>29030</v>
      </c>
      <c r="T44" s="76"/>
      <c r="U44" s="77">
        <v>19657750724</v>
      </c>
      <c r="V44" s="79"/>
      <c r="W44" s="77">
        <v>34566717720</v>
      </c>
      <c r="X44" s="79"/>
      <c r="Y44" s="80">
        <f t="shared" si="0"/>
        <v>1.2660548040398085</v>
      </c>
      <c r="Z44" s="23"/>
      <c r="AA44" s="23"/>
    </row>
    <row r="45" spans="1:27" ht="21.75" customHeight="1">
      <c r="A45" s="12" t="s">
        <v>32</v>
      </c>
      <c r="C45" s="77">
        <v>3114035</v>
      </c>
      <c r="D45" s="76"/>
      <c r="E45" s="77">
        <v>15357083836</v>
      </c>
      <c r="F45" s="76"/>
      <c r="G45" s="77">
        <v>15017222655</v>
      </c>
      <c r="H45" s="76"/>
      <c r="I45" s="77">
        <v>0</v>
      </c>
      <c r="J45" s="76"/>
      <c r="K45" s="77">
        <v>0</v>
      </c>
      <c r="L45" s="76"/>
      <c r="M45" s="77">
        <v>0</v>
      </c>
      <c r="N45" s="76"/>
      <c r="O45" s="77">
        <v>0</v>
      </c>
      <c r="P45" s="78"/>
      <c r="Q45" s="77">
        <f t="shared" si="1"/>
        <v>3114035</v>
      </c>
      <c r="R45" s="76"/>
      <c r="S45" s="77">
        <v>4770</v>
      </c>
      <c r="T45" s="76"/>
      <c r="U45" s="77">
        <v>15357083836</v>
      </c>
      <c r="V45" s="79"/>
      <c r="W45" s="77">
        <v>14739125940</v>
      </c>
      <c r="X45" s="79"/>
      <c r="Y45" s="80">
        <f t="shared" si="0"/>
        <v>0.53984128186078639</v>
      </c>
      <c r="Z45" s="23"/>
      <c r="AA45" s="23"/>
    </row>
    <row r="46" spans="1:27" ht="21.75" customHeight="1">
      <c r="A46" s="12" t="s">
        <v>179</v>
      </c>
      <c r="C46" s="77">
        <v>8400000</v>
      </c>
      <c r="D46" s="76"/>
      <c r="E46" s="77">
        <v>160352042162</v>
      </c>
      <c r="F46" s="76"/>
      <c r="G46" s="77">
        <v>183954950760</v>
      </c>
      <c r="H46" s="76"/>
      <c r="I46" s="77">
        <v>3120000</v>
      </c>
      <c r="J46" s="76"/>
      <c r="K46" s="77">
        <v>0</v>
      </c>
      <c r="L46" s="76"/>
      <c r="M46" s="77">
        <v>0</v>
      </c>
      <c r="N46" s="76"/>
      <c r="O46" s="77">
        <v>0</v>
      </c>
      <c r="P46" s="78"/>
      <c r="Q46" s="77">
        <f t="shared" si="1"/>
        <v>11520000</v>
      </c>
      <c r="R46" s="76"/>
      <c r="S46" s="77">
        <v>14926</v>
      </c>
      <c r="T46" s="76"/>
      <c r="U46" s="77">
        <v>160352042162</v>
      </c>
      <c r="V46" s="79"/>
      <c r="W46" s="77">
        <v>170618365670</v>
      </c>
      <c r="X46" s="79"/>
      <c r="Y46" s="80">
        <f t="shared" si="0"/>
        <v>6.2491383550987685</v>
      </c>
      <c r="Z46" s="23"/>
      <c r="AA46" s="23"/>
    </row>
    <row r="47" spans="1:27" ht="21.75" customHeight="1">
      <c r="A47" s="12" t="s">
        <v>33</v>
      </c>
      <c r="C47" s="77">
        <v>1043418</v>
      </c>
      <c r="D47" s="76"/>
      <c r="E47" s="77">
        <v>10440977897</v>
      </c>
      <c r="F47" s="76"/>
      <c r="G47" s="77">
        <v>19775230436</v>
      </c>
      <c r="H47" s="76"/>
      <c r="I47" s="77">
        <v>0</v>
      </c>
      <c r="J47" s="76"/>
      <c r="K47" s="77">
        <v>0</v>
      </c>
      <c r="L47" s="76"/>
      <c r="M47" s="77">
        <v>0</v>
      </c>
      <c r="N47" s="76"/>
      <c r="O47" s="77">
        <v>0</v>
      </c>
      <c r="P47" s="78"/>
      <c r="Q47" s="77">
        <f t="shared" si="1"/>
        <v>1043418</v>
      </c>
      <c r="R47" s="76"/>
      <c r="S47" s="77">
        <v>18870</v>
      </c>
      <c r="T47" s="76"/>
      <c r="U47" s="77">
        <v>10440977897</v>
      </c>
      <c r="V47" s="79"/>
      <c r="W47" s="77">
        <v>19537099389</v>
      </c>
      <c r="X47" s="79"/>
      <c r="Y47" s="80">
        <f t="shared" si="0"/>
        <v>0.71557382852509543</v>
      </c>
      <c r="Z47" s="23"/>
      <c r="AA47" s="23"/>
    </row>
    <row r="48" spans="1:27" ht="21.75" customHeight="1">
      <c r="A48" s="12" t="s">
        <v>34</v>
      </c>
      <c r="C48" s="77">
        <v>1761676</v>
      </c>
      <c r="D48" s="76"/>
      <c r="E48" s="77">
        <v>15412654051</v>
      </c>
      <c r="F48" s="76"/>
      <c r="G48" s="77">
        <v>13407606735</v>
      </c>
      <c r="H48" s="76"/>
      <c r="I48" s="77">
        <v>0</v>
      </c>
      <c r="J48" s="76"/>
      <c r="K48" s="77">
        <v>0</v>
      </c>
      <c r="L48" s="76"/>
      <c r="M48" s="77">
        <v>0</v>
      </c>
      <c r="N48" s="76"/>
      <c r="O48" s="77">
        <v>0</v>
      </c>
      <c r="P48" s="78"/>
      <c r="Q48" s="77">
        <f t="shared" si="1"/>
        <v>1761676</v>
      </c>
      <c r="R48" s="76"/>
      <c r="S48" s="77">
        <v>6290</v>
      </c>
      <c r="T48" s="76"/>
      <c r="U48" s="77">
        <v>15412654051</v>
      </c>
      <c r="V48" s="79"/>
      <c r="W48" s="77">
        <v>10995286358</v>
      </c>
      <c r="X48" s="79"/>
      <c r="Y48" s="80">
        <f t="shared" si="0"/>
        <v>0.40271787527240144</v>
      </c>
      <c r="Z48" s="23"/>
      <c r="AA48" s="23"/>
    </row>
    <row r="49" spans="1:27" ht="21.75" customHeight="1">
      <c r="A49" s="12" t="s">
        <v>35</v>
      </c>
      <c r="C49" s="77">
        <v>9346670</v>
      </c>
      <c r="D49" s="76"/>
      <c r="E49" s="77">
        <v>43291864129</v>
      </c>
      <c r="F49" s="76"/>
      <c r="G49" s="77">
        <v>105635646543</v>
      </c>
      <c r="H49" s="76"/>
      <c r="I49" s="77">
        <v>0</v>
      </c>
      <c r="J49" s="76"/>
      <c r="K49" s="77">
        <v>0</v>
      </c>
      <c r="L49" s="76"/>
      <c r="M49" s="77">
        <v>0</v>
      </c>
      <c r="N49" s="76"/>
      <c r="O49" s="77">
        <v>0</v>
      </c>
      <c r="P49" s="78"/>
      <c r="Q49" s="77">
        <f t="shared" si="1"/>
        <v>9346670</v>
      </c>
      <c r="R49" s="76"/>
      <c r="S49" s="77">
        <v>9510</v>
      </c>
      <c r="T49" s="76"/>
      <c r="U49" s="77">
        <v>43291864129</v>
      </c>
      <c r="V49" s="79"/>
      <c r="W49" s="77">
        <v>88199736490</v>
      </c>
      <c r="X49" s="79"/>
      <c r="Y49" s="80">
        <f t="shared" si="0"/>
        <v>3.2304397832253797</v>
      </c>
      <c r="Z49" s="23"/>
      <c r="AA49" s="23"/>
    </row>
    <row r="50" spans="1:27" ht="21.75" customHeight="1">
      <c r="A50" s="12" t="s">
        <v>180</v>
      </c>
      <c r="C50" s="77">
        <v>219000</v>
      </c>
      <c r="D50" s="76"/>
      <c r="E50" s="77">
        <v>5296465925</v>
      </c>
      <c r="F50" s="76"/>
      <c r="G50" s="77">
        <v>6323637483</v>
      </c>
      <c r="H50" s="76"/>
      <c r="I50" s="77">
        <v>0</v>
      </c>
      <c r="J50" s="76"/>
      <c r="K50" s="77">
        <v>0</v>
      </c>
      <c r="L50" s="76"/>
      <c r="M50" s="77">
        <v>0</v>
      </c>
      <c r="N50" s="76"/>
      <c r="O50" s="77">
        <v>0</v>
      </c>
      <c r="P50" s="78"/>
      <c r="Q50" s="77">
        <f t="shared" si="1"/>
        <v>219000</v>
      </c>
      <c r="R50" s="76"/>
      <c r="S50" s="77">
        <v>27190</v>
      </c>
      <c r="T50" s="76"/>
      <c r="U50" s="77">
        <v>5296465925</v>
      </c>
      <c r="V50" s="79"/>
      <c r="W50" s="77">
        <v>5908580864</v>
      </c>
      <c r="X50" s="79"/>
      <c r="Y50" s="80">
        <f t="shared" si="0"/>
        <v>0.21641011010995354</v>
      </c>
      <c r="Z50" s="23"/>
      <c r="AA50" s="23"/>
    </row>
    <row r="51" spans="1:27" ht="21.75" customHeight="1">
      <c r="A51" s="12" t="s">
        <v>181</v>
      </c>
      <c r="C51" s="77">
        <v>0</v>
      </c>
      <c r="D51" s="76"/>
      <c r="E51" s="77">
        <v>0</v>
      </c>
      <c r="F51" s="76"/>
      <c r="G51" s="77">
        <v>0</v>
      </c>
      <c r="H51" s="76"/>
      <c r="I51" s="77">
        <v>1500000</v>
      </c>
      <c r="J51" s="76"/>
      <c r="K51" s="77">
        <v>6346863120</v>
      </c>
      <c r="L51" s="76"/>
      <c r="M51" s="77">
        <v>0</v>
      </c>
      <c r="N51" s="76"/>
      <c r="O51" s="77">
        <v>0</v>
      </c>
      <c r="P51" s="78"/>
      <c r="Q51" s="77">
        <f t="shared" si="1"/>
        <v>1500000</v>
      </c>
      <c r="R51" s="76"/>
      <c r="S51" s="77">
        <v>4640</v>
      </c>
      <c r="T51" s="76"/>
      <c r="U51" s="77">
        <v>6346863120</v>
      </c>
      <c r="V51" s="79"/>
      <c r="W51" s="77">
        <v>6906199200</v>
      </c>
      <c r="X51" s="79"/>
      <c r="Y51" s="80">
        <f t="shared" si="0"/>
        <v>0.25294928912955184</v>
      </c>
      <c r="Z51" s="23"/>
      <c r="AA51" s="23"/>
    </row>
    <row r="52" spans="1:27" ht="21.75" customHeight="1">
      <c r="A52" s="12" t="s">
        <v>182</v>
      </c>
      <c r="C52" s="77">
        <v>0</v>
      </c>
      <c r="D52" s="76"/>
      <c r="E52" s="77">
        <v>0</v>
      </c>
      <c r="F52" s="76"/>
      <c r="G52" s="77">
        <v>0</v>
      </c>
      <c r="H52" s="76"/>
      <c r="I52" s="77">
        <v>30000</v>
      </c>
      <c r="J52" s="76"/>
      <c r="K52" s="77">
        <v>3600566424</v>
      </c>
      <c r="L52" s="76"/>
      <c r="M52" s="77">
        <v>0</v>
      </c>
      <c r="N52" s="76"/>
      <c r="O52" s="77">
        <v>0</v>
      </c>
      <c r="P52" s="78"/>
      <c r="Q52" s="77">
        <f t="shared" si="1"/>
        <v>30000</v>
      </c>
      <c r="R52" s="76"/>
      <c r="S52" s="77">
        <v>125700</v>
      </c>
      <c r="T52" s="76"/>
      <c r="U52" s="77">
        <v>3600566424</v>
      </c>
      <c r="V52" s="79"/>
      <c r="W52" s="77">
        <v>3741850170</v>
      </c>
      <c r="X52" s="79"/>
      <c r="Y52" s="80">
        <f t="shared" si="0"/>
        <v>0.13705054156717528</v>
      </c>
      <c r="Z52" s="23"/>
      <c r="AA52" s="23"/>
    </row>
    <row r="53" spans="1:27" ht="21.75" customHeight="1">
      <c r="A53" s="12" t="s">
        <v>183</v>
      </c>
      <c r="C53" s="77">
        <v>0</v>
      </c>
      <c r="D53" s="76"/>
      <c r="E53" s="77">
        <v>0</v>
      </c>
      <c r="F53" s="76"/>
      <c r="G53" s="77">
        <v>0</v>
      </c>
      <c r="H53" s="76"/>
      <c r="I53" s="77">
        <v>1200000</v>
      </c>
      <c r="J53" s="76"/>
      <c r="K53" s="77">
        <v>8013290658</v>
      </c>
      <c r="L53" s="76"/>
      <c r="M53" s="77">
        <v>0</v>
      </c>
      <c r="N53" s="76"/>
      <c r="O53" s="77">
        <v>0</v>
      </c>
      <c r="P53" s="78"/>
      <c r="Q53" s="77">
        <f t="shared" si="1"/>
        <v>1200000</v>
      </c>
      <c r="R53" s="76"/>
      <c r="S53" s="77">
        <v>7340</v>
      </c>
      <c r="T53" s="76"/>
      <c r="U53" s="77">
        <v>8013290658</v>
      </c>
      <c r="V53" s="79"/>
      <c r="W53" s="77">
        <v>8739914160</v>
      </c>
      <c r="X53" s="79"/>
      <c r="Y53" s="80">
        <f t="shared" si="0"/>
        <v>0.32011168658808797</v>
      </c>
      <c r="Z53" s="23"/>
      <c r="AA53" s="23"/>
    </row>
    <row r="54" spans="1:27" ht="21.75" customHeight="1">
      <c r="A54" s="12" t="s">
        <v>184</v>
      </c>
      <c r="C54" s="77">
        <v>0</v>
      </c>
      <c r="D54" s="76"/>
      <c r="E54" s="81">
        <v>0</v>
      </c>
      <c r="F54" s="76"/>
      <c r="G54" s="81">
        <v>0</v>
      </c>
      <c r="H54" s="76"/>
      <c r="I54" s="77">
        <v>300000</v>
      </c>
      <c r="J54" s="76"/>
      <c r="K54" s="77">
        <v>4132032356</v>
      </c>
      <c r="L54" s="76"/>
      <c r="M54" s="77">
        <v>0</v>
      </c>
      <c r="N54" s="76"/>
      <c r="O54" s="77">
        <v>0</v>
      </c>
      <c r="P54" s="78"/>
      <c r="Q54" s="77">
        <f t="shared" si="1"/>
        <v>300000</v>
      </c>
      <c r="R54" s="76"/>
      <c r="S54" s="77">
        <v>16620</v>
      </c>
      <c r="T54" s="76"/>
      <c r="U54" s="77">
        <v>4132032356</v>
      </c>
      <c r="V54" s="79"/>
      <c r="W54" s="77">
        <v>4947458220</v>
      </c>
      <c r="X54" s="79"/>
      <c r="Y54" s="80">
        <f t="shared" si="0"/>
        <v>0.18120763729884271</v>
      </c>
      <c r="Z54" s="23"/>
      <c r="AA54" s="23"/>
    </row>
    <row r="55" spans="1:27" ht="21.75" customHeight="1" thickBot="1">
      <c r="A55" s="20"/>
      <c r="B55" s="20"/>
      <c r="C55" s="82"/>
      <c r="D55" s="78"/>
      <c r="E55" s="83">
        <f>SUM(E9:E54)</f>
        <v>1872230734499</v>
      </c>
      <c r="F55" s="78"/>
      <c r="G55" s="83">
        <f>SUM(G9:G54)</f>
        <v>2560977869868</v>
      </c>
      <c r="H55" s="78"/>
      <c r="I55" s="82"/>
      <c r="J55" s="78"/>
      <c r="K55" s="83">
        <f>SUM(K9:K54)</f>
        <v>61831710187</v>
      </c>
      <c r="L55" s="78"/>
      <c r="M55" s="82"/>
      <c r="N55" s="78"/>
      <c r="O55" s="83">
        <f>SUM(O9:O54)</f>
        <v>207732822103</v>
      </c>
      <c r="P55" s="78"/>
      <c r="Q55" s="82"/>
      <c r="R55" s="78"/>
      <c r="S55" s="82"/>
      <c r="T55" s="78"/>
      <c r="U55" s="83">
        <f>SUM(U9:U54)</f>
        <v>1632053007380</v>
      </c>
      <c r="V55" s="78"/>
      <c r="W55" s="83">
        <f>SUM(W9:W54)</f>
        <v>2042008500223</v>
      </c>
      <c r="X55" s="79"/>
      <c r="Y55" s="84">
        <f>SUM(Y9:Y54)</f>
        <v>74.791442234667954</v>
      </c>
    </row>
    <row r="56" spans="1:27" ht="13.5" thickTop="1"/>
    <row r="57" spans="1:27">
      <c r="E57" s="23"/>
      <c r="G57" s="23"/>
      <c r="U57" s="67"/>
      <c r="W57" s="67"/>
    </row>
    <row r="58" spans="1:27">
      <c r="E58" s="23"/>
      <c r="G58" s="23"/>
      <c r="U58" s="67"/>
      <c r="W58" s="67"/>
    </row>
    <row r="59" spans="1:27">
      <c r="U59" s="67"/>
      <c r="W59" s="67"/>
    </row>
    <row r="60" spans="1:27">
      <c r="E60" s="23"/>
      <c r="G60" s="23"/>
      <c r="U60" s="67"/>
      <c r="W60" s="67"/>
    </row>
    <row r="61" spans="1:27">
      <c r="U61" s="67"/>
    </row>
  </sheetData>
  <mergeCells count="10">
    <mergeCell ref="I6:O6"/>
    <mergeCell ref="Q6:Y6"/>
    <mergeCell ref="I7:K7"/>
    <mergeCell ref="M7:O7"/>
    <mergeCell ref="C6:G6"/>
    <mergeCell ref="A1:Y1"/>
    <mergeCell ref="A2:Y2"/>
    <mergeCell ref="A3:Y3"/>
    <mergeCell ref="A4:Y4"/>
    <mergeCell ref="A5:Y5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38AC-37FB-4502-AA5B-27E1E6FF1BBA}">
  <sheetPr>
    <tabColor rgb="FF92D050"/>
    <pageSetUpPr fitToPage="1"/>
  </sheetPr>
  <dimension ref="A1:AW16"/>
  <sheetViews>
    <sheetView rightToLeft="1" view="pageBreakPreview" topLeftCell="A13" zoomScale="124" zoomScaleNormal="100" zoomScaleSheetLayoutView="124" workbookViewId="0">
      <selection activeCell="G19" sqref="G19"/>
    </sheetView>
  </sheetViews>
  <sheetFormatPr defaultRowHeight="12.75"/>
  <cols>
    <col min="1" max="1" width="28.42578125" bestFit="1" customWidth="1"/>
    <col min="2" max="2" width="1.28515625" customWidth="1"/>
    <col min="3" max="3" width="9.42578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5.5">
      <c r="A1" s="109" t="str">
        <f>سهام!A1</f>
        <v>صندوق سرمایه‌گذاری افق دماوند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</row>
    <row r="2" spans="1:49" ht="25.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</row>
    <row r="3" spans="1:49" ht="25.5">
      <c r="A3" s="109" t="str">
        <f>سهام!A3</f>
        <v>برای ماه منتهی به 1405/04/31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</row>
    <row r="4" spans="1:49" ht="25.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</row>
    <row r="5" spans="1:49" ht="25.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</row>
    <row r="6" spans="1:49" ht="24">
      <c r="A6" s="113" t="s">
        <v>151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</row>
    <row r="7" spans="1:49" ht="21">
      <c r="C7" s="114" t="s">
        <v>168</v>
      </c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Y7" s="114" t="s">
        <v>169</v>
      </c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</row>
    <row r="8" spans="1:49" ht="21">
      <c r="A8" s="42" t="s">
        <v>37</v>
      </c>
      <c r="C8" s="4" t="s">
        <v>145</v>
      </c>
      <c r="D8" s="3"/>
      <c r="E8" s="4" t="s">
        <v>138</v>
      </c>
      <c r="F8" s="3"/>
      <c r="G8" s="112" t="s">
        <v>144</v>
      </c>
      <c r="H8" s="112"/>
      <c r="I8" s="112"/>
      <c r="J8" s="3"/>
      <c r="K8" s="112" t="s">
        <v>41</v>
      </c>
      <c r="L8" s="112"/>
      <c r="M8" s="112"/>
      <c r="N8" s="3"/>
      <c r="O8" s="112" t="s">
        <v>38</v>
      </c>
      <c r="P8" s="112"/>
      <c r="Q8" s="112"/>
      <c r="R8" s="3"/>
      <c r="S8" s="112" t="s">
        <v>39</v>
      </c>
      <c r="T8" s="112"/>
      <c r="U8" s="112"/>
      <c r="V8" s="112"/>
      <c r="W8" s="112"/>
      <c r="Y8" s="112" t="s">
        <v>145</v>
      </c>
      <c r="Z8" s="112"/>
      <c r="AA8" s="112"/>
      <c r="AB8" s="112"/>
      <c r="AC8" s="112"/>
      <c r="AD8" s="3"/>
      <c r="AE8" s="112" t="s">
        <v>138</v>
      </c>
      <c r="AF8" s="112"/>
      <c r="AG8" s="112"/>
      <c r="AH8" s="112"/>
      <c r="AI8" s="112"/>
      <c r="AJ8" s="3"/>
      <c r="AK8" s="112" t="s">
        <v>144</v>
      </c>
      <c r="AL8" s="112"/>
      <c r="AM8" s="112"/>
      <c r="AN8" s="3"/>
      <c r="AO8" s="112" t="s">
        <v>41</v>
      </c>
      <c r="AP8" s="112"/>
      <c r="AQ8" s="112"/>
      <c r="AR8" s="3"/>
      <c r="AS8" s="112" t="s">
        <v>38</v>
      </c>
      <c r="AT8" s="112"/>
      <c r="AU8" s="3"/>
      <c r="AV8" s="4" t="s">
        <v>39</v>
      </c>
    </row>
    <row r="9" spans="1:49" ht="21">
      <c r="A9" s="12" t="s">
        <v>186</v>
      </c>
      <c r="C9" s="12" t="s">
        <v>142</v>
      </c>
      <c r="D9" s="12"/>
      <c r="E9" s="12" t="s">
        <v>141</v>
      </c>
      <c r="G9" s="103"/>
      <c r="H9" s="103"/>
      <c r="I9" s="103"/>
      <c r="K9" s="117">
        <v>8000000</v>
      </c>
      <c r="L9" s="117"/>
      <c r="M9" s="117"/>
      <c r="O9" s="117">
        <v>6500</v>
      </c>
      <c r="P9" s="117"/>
      <c r="Q9" s="117"/>
      <c r="S9" s="118" t="s">
        <v>191</v>
      </c>
      <c r="T9" s="118"/>
      <c r="U9" s="118"/>
      <c r="V9" s="118"/>
      <c r="W9" s="118"/>
      <c r="Y9" s="118" t="s">
        <v>142</v>
      </c>
      <c r="Z9" s="118"/>
      <c r="AA9" s="118"/>
      <c r="AB9" s="118"/>
      <c r="AC9" s="118"/>
      <c r="AE9" s="118" t="s">
        <v>140</v>
      </c>
      <c r="AF9" s="118"/>
      <c r="AG9" s="118"/>
      <c r="AH9" s="118"/>
      <c r="AI9" s="118"/>
      <c r="AK9" s="118" t="s">
        <v>140</v>
      </c>
      <c r="AL9" s="118"/>
      <c r="AM9" s="118"/>
      <c r="AO9" s="117">
        <v>0</v>
      </c>
      <c r="AP9" s="117"/>
      <c r="AQ9" s="117"/>
      <c r="AS9" s="117">
        <v>0</v>
      </c>
      <c r="AT9" s="117"/>
      <c r="AV9" s="6" t="s">
        <v>140</v>
      </c>
    </row>
    <row r="10" spans="1:49" ht="21">
      <c r="A10" s="12" t="s">
        <v>187</v>
      </c>
      <c r="C10" s="12" t="s">
        <v>142</v>
      </c>
      <c r="D10" s="12"/>
      <c r="E10" s="12" t="s">
        <v>141</v>
      </c>
      <c r="G10" s="22"/>
      <c r="H10" s="22"/>
      <c r="I10" s="22"/>
      <c r="K10" s="116">
        <v>1439000</v>
      </c>
      <c r="L10" s="116"/>
      <c r="M10" s="116"/>
      <c r="O10" s="116">
        <v>6000</v>
      </c>
      <c r="P10" s="116"/>
      <c r="Q10" s="116"/>
      <c r="S10" s="115" t="s">
        <v>191</v>
      </c>
      <c r="T10" s="115"/>
      <c r="U10" s="115"/>
      <c r="V10" s="115"/>
      <c r="W10" s="115"/>
      <c r="Y10" s="115" t="s">
        <v>142</v>
      </c>
      <c r="Z10" s="115"/>
      <c r="AA10" s="115"/>
      <c r="AB10" s="115"/>
      <c r="AC10" s="115"/>
      <c r="AE10" s="115" t="s">
        <v>140</v>
      </c>
      <c r="AF10" s="115"/>
      <c r="AG10" s="115"/>
      <c r="AH10" s="115"/>
      <c r="AI10" s="115"/>
      <c r="AK10" s="115" t="s">
        <v>140</v>
      </c>
      <c r="AL10" s="115"/>
      <c r="AM10" s="115"/>
      <c r="AO10" s="116">
        <v>0</v>
      </c>
      <c r="AP10" s="116"/>
      <c r="AQ10" s="116"/>
      <c r="AS10" s="116">
        <v>0</v>
      </c>
      <c r="AT10" s="116"/>
      <c r="AV10" s="6" t="s">
        <v>140</v>
      </c>
    </row>
    <row r="11" spans="1:49" ht="21">
      <c r="A11" s="12" t="s">
        <v>188</v>
      </c>
      <c r="C11" s="12" t="s">
        <v>142</v>
      </c>
      <c r="D11" s="12"/>
      <c r="E11" s="12" t="s">
        <v>141</v>
      </c>
      <c r="G11" s="22"/>
      <c r="H11" s="22"/>
      <c r="I11" s="22"/>
      <c r="K11" s="116">
        <v>35961000</v>
      </c>
      <c r="L11" s="116"/>
      <c r="M11" s="116"/>
      <c r="O11" s="116">
        <v>600</v>
      </c>
      <c r="P11" s="116"/>
      <c r="Q11" s="116"/>
      <c r="S11" s="115" t="s">
        <v>192</v>
      </c>
      <c r="T11" s="115"/>
      <c r="U11" s="115"/>
      <c r="V11" s="115"/>
      <c r="W11" s="115"/>
      <c r="Y11" s="115" t="s">
        <v>142</v>
      </c>
      <c r="Z11" s="115"/>
      <c r="AA11" s="115"/>
      <c r="AB11" s="115"/>
      <c r="AC11" s="115"/>
      <c r="AE11" s="115" t="s">
        <v>141</v>
      </c>
      <c r="AF11" s="115"/>
      <c r="AG11" s="115"/>
      <c r="AH11" s="115"/>
      <c r="AI11" s="115"/>
      <c r="AK11" s="115" t="s">
        <v>140</v>
      </c>
      <c r="AL11" s="115"/>
      <c r="AM11" s="115"/>
      <c r="AO11" s="116">
        <v>35961000</v>
      </c>
      <c r="AP11" s="116"/>
      <c r="AQ11" s="116"/>
      <c r="AS11" s="116">
        <v>600</v>
      </c>
      <c r="AT11" s="116"/>
      <c r="AV11" s="6" t="s">
        <v>192</v>
      </c>
    </row>
    <row r="12" spans="1:49" ht="21">
      <c r="A12" s="12" t="s">
        <v>189</v>
      </c>
      <c r="C12" s="12" t="s">
        <v>142</v>
      </c>
      <c r="D12" s="12"/>
      <c r="E12" s="12" t="s">
        <v>141</v>
      </c>
      <c r="G12" s="22"/>
      <c r="H12" s="22"/>
      <c r="I12" s="22"/>
      <c r="K12" s="116">
        <v>4000000</v>
      </c>
      <c r="L12" s="116"/>
      <c r="M12" s="116"/>
      <c r="O12" s="116">
        <v>550</v>
      </c>
      <c r="P12" s="116"/>
      <c r="Q12" s="116"/>
      <c r="S12" s="115" t="s">
        <v>192</v>
      </c>
      <c r="T12" s="115"/>
      <c r="U12" s="115"/>
      <c r="V12" s="115"/>
      <c r="W12" s="115"/>
      <c r="Y12" s="115" t="s">
        <v>142</v>
      </c>
      <c r="Z12" s="115"/>
      <c r="AA12" s="115"/>
      <c r="AB12" s="115"/>
      <c r="AC12" s="115"/>
      <c r="AE12" s="115" t="s">
        <v>141</v>
      </c>
      <c r="AF12" s="115"/>
      <c r="AG12" s="115"/>
      <c r="AH12" s="115"/>
      <c r="AI12" s="115"/>
      <c r="AK12" s="115" t="s">
        <v>140</v>
      </c>
      <c r="AL12" s="115"/>
      <c r="AM12" s="115"/>
      <c r="AO12" s="116">
        <v>4000000</v>
      </c>
      <c r="AP12" s="116"/>
      <c r="AQ12" s="116"/>
      <c r="AS12" s="116">
        <v>550</v>
      </c>
      <c r="AT12" s="116"/>
      <c r="AV12" s="6" t="s">
        <v>192</v>
      </c>
    </row>
    <row r="13" spans="1:49" ht="21">
      <c r="A13" s="12" t="s">
        <v>190</v>
      </c>
      <c r="C13" s="12" t="s">
        <v>142</v>
      </c>
      <c r="D13" s="12"/>
      <c r="E13" s="12" t="s">
        <v>141</v>
      </c>
      <c r="G13" s="22"/>
      <c r="H13" s="22"/>
      <c r="I13" s="22"/>
      <c r="K13" s="116">
        <v>6400000</v>
      </c>
      <c r="L13" s="116"/>
      <c r="M13" s="116"/>
      <c r="O13" s="116">
        <v>18000</v>
      </c>
      <c r="P13" s="116"/>
      <c r="Q13" s="116"/>
      <c r="S13" s="115" t="s">
        <v>193</v>
      </c>
      <c r="T13" s="115"/>
      <c r="U13" s="115"/>
      <c r="V13" s="115"/>
      <c r="W13" s="115"/>
      <c r="Y13" s="115" t="s">
        <v>142</v>
      </c>
      <c r="Z13" s="115"/>
      <c r="AA13" s="115"/>
      <c r="AB13" s="115"/>
      <c r="AC13" s="115"/>
      <c r="AE13" s="115" t="s">
        <v>141</v>
      </c>
      <c r="AF13" s="115"/>
      <c r="AG13" s="115"/>
      <c r="AH13" s="115"/>
      <c r="AI13" s="115"/>
      <c r="AK13" s="115" t="s">
        <v>140</v>
      </c>
      <c r="AL13" s="115"/>
      <c r="AM13" s="115"/>
      <c r="AO13" s="116">
        <v>8777142</v>
      </c>
      <c r="AP13" s="116"/>
      <c r="AQ13" s="116"/>
      <c r="AS13" s="116">
        <v>18000</v>
      </c>
      <c r="AT13" s="116"/>
      <c r="AV13" s="6" t="s">
        <v>193</v>
      </c>
    </row>
    <row r="14" spans="1:49" ht="21">
      <c r="A14" s="22"/>
      <c r="C14" s="22"/>
      <c r="E14" s="22"/>
      <c r="G14" s="22"/>
      <c r="H14" s="22"/>
      <c r="I14" s="22"/>
      <c r="K14" s="22"/>
      <c r="L14" s="22"/>
      <c r="M14" s="22"/>
      <c r="O14" s="22"/>
      <c r="P14" s="22"/>
      <c r="Q14" s="22"/>
      <c r="S14" s="22"/>
      <c r="T14" s="22"/>
      <c r="U14" s="22"/>
      <c r="V14" s="22"/>
      <c r="W14" s="22"/>
      <c r="Y14" s="22"/>
      <c r="Z14" s="22"/>
      <c r="AA14" s="22"/>
      <c r="AB14" s="22"/>
      <c r="AC14" s="22"/>
      <c r="AE14" s="22"/>
      <c r="AF14" s="22"/>
      <c r="AG14" s="22"/>
      <c r="AH14" s="22"/>
      <c r="AI14" s="22"/>
      <c r="AK14" s="22"/>
      <c r="AL14" s="22"/>
      <c r="AM14" s="22"/>
      <c r="AO14" s="22"/>
      <c r="AP14" s="22"/>
      <c r="AQ14" s="22"/>
      <c r="AS14" s="22"/>
      <c r="AT14" s="22"/>
      <c r="AV14" s="22"/>
    </row>
    <row r="15" spans="1:49" ht="21">
      <c r="A15" s="22"/>
      <c r="C15" s="22"/>
      <c r="E15" s="22"/>
      <c r="G15" s="22"/>
      <c r="H15" s="22"/>
      <c r="I15" s="22"/>
      <c r="K15" s="22"/>
      <c r="L15" s="22"/>
      <c r="M15" s="22"/>
      <c r="O15" s="22"/>
      <c r="P15" s="22"/>
      <c r="Q15" s="22"/>
      <c r="S15" s="22"/>
      <c r="T15" s="22"/>
      <c r="U15" s="22"/>
      <c r="V15" s="22"/>
      <c r="W15" s="22"/>
      <c r="Y15" s="22"/>
      <c r="Z15" s="22"/>
      <c r="AA15" s="22"/>
      <c r="AB15" s="22"/>
      <c r="AC15" s="22"/>
      <c r="AE15" s="22"/>
      <c r="AF15" s="22"/>
      <c r="AG15" s="22"/>
      <c r="AH15" s="22"/>
      <c r="AI15" s="22"/>
      <c r="AK15" s="22"/>
      <c r="AL15" s="22"/>
      <c r="AM15" s="22"/>
      <c r="AO15" s="22"/>
      <c r="AP15" s="22"/>
      <c r="AQ15" s="22"/>
      <c r="AS15" s="22"/>
      <c r="AT15" s="22"/>
      <c r="AV15" s="22"/>
    </row>
    <row r="16" spans="1:49" ht="18.75">
      <c r="A16" s="6"/>
      <c r="C16" s="6"/>
      <c r="E16" s="6"/>
      <c r="G16" s="115"/>
      <c r="H16" s="115"/>
      <c r="I16" s="115"/>
      <c r="K16" s="116"/>
      <c r="L16" s="116"/>
      <c r="M16" s="116"/>
      <c r="O16" s="116"/>
      <c r="P16" s="116"/>
      <c r="Q16" s="116"/>
      <c r="S16" s="115"/>
      <c r="T16" s="115"/>
      <c r="U16" s="115"/>
      <c r="V16" s="115"/>
      <c r="W16" s="115"/>
      <c r="Y16" s="115"/>
      <c r="Z16" s="115"/>
      <c r="AA16" s="115"/>
      <c r="AB16" s="115"/>
      <c r="AC16" s="115"/>
      <c r="AE16" s="115"/>
      <c r="AF16" s="115"/>
      <c r="AG16" s="115"/>
      <c r="AH16" s="115"/>
      <c r="AI16" s="115"/>
      <c r="AK16" s="115"/>
      <c r="AL16" s="115"/>
      <c r="AM16" s="115"/>
      <c r="AO16" s="116"/>
      <c r="AP16" s="116"/>
      <c r="AQ16" s="116"/>
      <c r="AS16" s="116"/>
      <c r="AT16" s="116"/>
      <c r="AV16" s="6"/>
    </row>
  </sheetData>
  <mergeCells count="64">
    <mergeCell ref="AK13:AM13"/>
    <mergeCell ref="AO13:AQ13"/>
    <mergeCell ref="AS13:AT13"/>
    <mergeCell ref="AK11:AM11"/>
    <mergeCell ref="AO11:AQ11"/>
    <mergeCell ref="AS11:AT11"/>
    <mergeCell ref="Y12:AC12"/>
    <mergeCell ref="AE12:AI12"/>
    <mergeCell ref="AK12:AM12"/>
    <mergeCell ref="AO12:AQ12"/>
    <mergeCell ref="AS12:AT12"/>
    <mergeCell ref="AK9:AM9"/>
    <mergeCell ref="AO9:AQ9"/>
    <mergeCell ref="AS9:AT9"/>
    <mergeCell ref="Y10:AC10"/>
    <mergeCell ref="AE10:AI10"/>
    <mergeCell ref="AK10:AM10"/>
    <mergeCell ref="AO10:AQ10"/>
    <mergeCell ref="AS10:AT10"/>
    <mergeCell ref="K13:M13"/>
    <mergeCell ref="O13:Q13"/>
    <mergeCell ref="S13:W13"/>
    <mergeCell ref="Y9:AC9"/>
    <mergeCell ref="AE9:AI9"/>
    <mergeCell ref="Y11:AC11"/>
    <mergeCell ref="AE11:AI11"/>
    <mergeCell ref="Y13:AC13"/>
    <mergeCell ref="AE13:AI13"/>
    <mergeCell ref="K11:M11"/>
    <mergeCell ref="O11:Q11"/>
    <mergeCell ref="S11:W11"/>
    <mergeCell ref="K12:M12"/>
    <mergeCell ref="O12:Q12"/>
    <mergeCell ref="S12:W12"/>
    <mergeCell ref="K9:M9"/>
    <mergeCell ref="O9:Q9"/>
    <mergeCell ref="S9:W9"/>
    <mergeCell ref="K10:M10"/>
    <mergeCell ref="O10:Q10"/>
    <mergeCell ref="S10:W10"/>
    <mergeCell ref="AE16:AI16"/>
    <mergeCell ref="AK16:AM16"/>
    <mergeCell ref="AO16:AQ16"/>
    <mergeCell ref="AS16:AT16"/>
    <mergeCell ref="G16:I16"/>
    <mergeCell ref="K16:M16"/>
    <mergeCell ref="O16:Q16"/>
    <mergeCell ref="S16:W16"/>
    <mergeCell ref="Y16:AC16"/>
    <mergeCell ref="A1:AW1"/>
    <mergeCell ref="A2:AW2"/>
    <mergeCell ref="A3:AW3"/>
    <mergeCell ref="AS8:AT8"/>
    <mergeCell ref="A6:AW6"/>
    <mergeCell ref="C7:W7"/>
    <mergeCell ref="Y7:AV7"/>
    <mergeCell ref="G8:I8"/>
    <mergeCell ref="K8:M8"/>
    <mergeCell ref="O8:Q8"/>
    <mergeCell ref="S8:W8"/>
    <mergeCell ref="Y8:AC8"/>
    <mergeCell ref="AE8:AI8"/>
    <mergeCell ref="AK8:AM8"/>
    <mergeCell ref="AO8:AQ8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M14"/>
  <sheetViews>
    <sheetView rightToLeft="1" view="pageBreakPreview" topLeftCell="D1" zoomScaleNormal="100" zoomScaleSheetLayoutView="100" workbookViewId="0">
      <selection activeCell="M29" sqref="M29"/>
    </sheetView>
  </sheetViews>
  <sheetFormatPr defaultRowHeight="12.75"/>
  <cols>
    <col min="1" max="1" width="60.5703125" bestFit="1" customWidth="1"/>
    <col min="2" max="2" width="1.28515625" customWidth="1"/>
    <col min="3" max="3" width="18.5703125" bestFit="1" customWidth="1"/>
    <col min="4" max="4" width="1.28515625" customWidth="1"/>
    <col min="5" max="5" width="14.5703125" bestFit="1" customWidth="1"/>
    <col min="6" max="6" width="1.28515625" customWidth="1"/>
    <col min="7" max="7" width="15.42578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11.85546875" bestFit="1" customWidth="1"/>
    <col min="14" max="14" width="1.28515625" customWidth="1"/>
    <col min="15" max="15" width="8.28515625" bestFit="1" customWidth="1"/>
    <col min="16" max="16" width="1.28515625" customWidth="1"/>
    <col min="17" max="17" width="16.140625" bestFit="1" customWidth="1"/>
    <col min="18" max="18" width="1.28515625" customWidth="1"/>
    <col min="19" max="19" width="16.140625" bestFit="1" customWidth="1"/>
    <col min="20" max="20" width="1.28515625" customWidth="1"/>
    <col min="21" max="21" width="8" bestFit="1" customWidth="1"/>
    <col min="22" max="22" width="1.28515625" customWidth="1"/>
    <col min="23" max="23" width="15.85546875" bestFit="1" customWidth="1"/>
    <col min="24" max="24" width="1.28515625" customWidth="1"/>
    <col min="25" max="25" width="7.140625" bestFit="1" customWidth="1"/>
    <col min="26" max="26" width="1.28515625" customWidth="1"/>
    <col min="27" max="27" width="14.7109375" bestFit="1" customWidth="1"/>
    <col min="28" max="28" width="1.28515625" customWidth="1"/>
    <col min="29" max="29" width="8" bestFit="1" customWidth="1"/>
    <col min="30" max="30" width="1.28515625" customWidth="1"/>
    <col min="31" max="31" width="16.140625" bestFit="1" customWidth="1"/>
    <col min="32" max="32" width="1.28515625" customWidth="1"/>
    <col min="33" max="33" width="15.7109375" bestFit="1" customWidth="1"/>
    <col min="34" max="34" width="1.28515625" customWidth="1"/>
    <col min="35" max="35" width="16" bestFit="1" customWidth="1"/>
    <col min="36" max="36" width="1.28515625" customWidth="1"/>
    <col min="37" max="37" width="18.28515625" bestFit="1" customWidth="1"/>
    <col min="38" max="38" width="0.28515625" customWidth="1"/>
  </cols>
  <sheetData>
    <row r="1" spans="1:39" ht="29.1" customHeight="1">
      <c r="A1" s="109" t="str">
        <f>سهام!A1</f>
        <v>صندوق سرمایه‌گذاری افق دماوند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</row>
    <row r="2" spans="1:39" ht="21.75" customHeight="1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</row>
    <row r="3" spans="1:39" ht="21.75" customHeight="1">
      <c r="A3" s="109" t="str">
        <f>سهام!A3</f>
        <v>برای ماه منتهی به 1405/04/31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</row>
    <row r="4" spans="1:39" ht="14.45" customHeight="1"/>
    <row r="5" spans="1:39" ht="24">
      <c r="A5" s="41" t="s">
        <v>119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</row>
    <row r="6" spans="1:39" ht="14.45" customHeight="1">
      <c r="A6" s="114" t="s">
        <v>42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21"/>
      <c r="O6" s="114" t="s">
        <v>168</v>
      </c>
      <c r="P6" s="114"/>
      <c r="Q6" s="114"/>
      <c r="R6" s="114"/>
      <c r="S6" s="114"/>
      <c r="U6" s="114" t="s">
        <v>1</v>
      </c>
      <c r="V6" s="114"/>
      <c r="W6" s="114"/>
      <c r="X6" s="114"/>
      <c r="Y6" s="114"/>
      <c r="Z6" s="114"/>
      <c r="AA6" s="114"/>
      <c r="AC6" s="114" t="s">
        <v>169</v>
      </c>
      <c r="AD6" s="114"/>
      <c r="AE6" s="114"/>
      <c r="AF6" s="114"/>
      <c r="AG6" s="114"/>
      <c r="AH6" s="114"/>
      <c r="AI6" s="114"/>
      <c r="AJ6" s="114"/>
      <c r="AK6" s="114"/>
    </row>
    <row r="7" spans="1:39" ht="14.45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1"/>
      <c r="U7" s="112" t="s">
        <v>2</v>
      </c>
      <c r="V7" s="112"/>
      <c r="W7" s="112"/>
      <c r="X7" s="30"/>
      <c r="Y7" s="112" t="s">
        <v>3</v>
      </c>
      <c r="Z7" s="112"/>
      <c r="AA7" s="112"/>
      <c r="AB7" s="31"/>
      <c r="AC7" s="30"/>
      <c r="AD7" s="30"/>
      <c r="AE7" s="30"/>
      <c r="AF7" s="30"/>
      <c r="AG7" s="30"/>
      <c r="AH7" s="30"/>
      <c r="AI7" s="30"/>
      <c r="AJ7" s="30"/>
      <c r="AK7" s="30"/>
    </row>
    <row r="8" spans="1:39" ht="42">
      <c r="A8" s="2" t="s">
        <v>43</v>
      </c>
      <c r="B8" s="31"/>
      <c r="C8" s="2" t="s">
        <v>44</v>
      </c>
      <c r="D8" s="31"/>
      <c r="E8" s="7" t="s">
        <v>45</v>
      </c>
      <c r="F8" s="31"/>
      <c r="G8" s="2" t="s">
        <v>46</v>
      </c>
      <c r="H8" s="31"/>
      <c r="I8" s="2" t="s">
        <v>47</v>
      </c>
      <c r="J8" s="31"/>
      <c r="K8" s="2" t="s">
        <v>48</v>
      </c>
      <c r="L8" s="31"/>
      <c r="M8" s="2" t="s">
        <v>40</v>
      </c>
      <c r="N8" s="31"/>
      <c r="O8" s="2" t="s">
        <v>5</v>
      </c>
      <c r="P8" s="31"/>
      <c r="Q8" s="2" t="s">
        <v>6</v>
      </c>
      <c r="R8" s="31"/>
      <c r="S8" s="2" t="s">
        <v>7</v>
      </c>
      <c r="T8" s="31"/>
      <c r="U8" s="4" t="s">
        <v>5</v>
      </c>
      <c r="V8" s="30"/>
      <c r="W8" s="4" t="s">
        <v>6</v>
      </c>
      <c r="X8" s="31"/>
      <c r="Y8" s="4" t="s">
        <v>5</v>
      </c>
      <c r="Z8" s="30"/>
      <c r="AA8" s="4" t="s">
        <v>8</v>
      </c>
      <c r="AB8" s="31"/>
      <c r="AC8" s="2" t="s">
        <v>5</v>
      </c>
      <c r="AD8" s="31"/>
      <c r="AE8" s="2" t="s">
        <v>9</v>
      </c>
      <c r="AF8" s="31"/>
      <c r="AG8" s="2" t="s">
        <v>6</v>
      </c>
      <c r="AH8" s="31"/>
      <c r="AI8" s="2" t="s">
        <v>7</v>
      </c>
      <c r="AJ8" s="31"/>
      <c r="AK8" s="2" t="s">
        <v>10</v>
      </c>
    </row>
    <row r="9" spans="1:39" ht="18.75">
      <c r="A9" s="32" t="s">
        <v>49</v>
      </c>
      <c r="B9" s="69"/>
      <c r="C9" s="32" t="s">
        <v>50</v>
      </c>
      <c r="D9" s="69"/>
      <c r="E9" s="32" t="s">
        <v>50</v>
      </c>
      <c r="F9" s="69"/>
      <c r="G9" s="32" t="s">
        <v>51</v>
      </c>
      <c r="H9" s="69"/>
      <c r="I9" s="32" t="s">
        <v>52</v>
      </c>
      <c r="J9" s="69"/>
      <c r="K9" s="33">
        <v>23</v>
      </c>
      <c r="L9" s="69"/>
      <c r="M9" s="33">
        <v>23</v>
      </c>
      <c r="N9" s="89"/>
      <c r="O9" s="90">
        <v>354400</v>
      </c>
      <c r="P9" s="89"/>
      <c r="Q9" s="90">
        <v>354571015000</v>
      </c>
      <c r="R9" s="89"/>
      <c r="S9" s="90">
        <v>354207295000</v>
      </c>
      <c r="T9" s="79"/>
      <c r="U9" s="90">
        <v>268600</v>
      </c>
      <c r="V9" s="89"/>
      <c r="W9" s="90">
        <v>268746051250</v>
      </c>
      <c r="X9" s="89"/>
      <c r="Y9" s="88">
        <v>17000</v>
      </c>
      <c r="Z9" s="89"/>
      <c r="AA9" s="90">
        <v>16990756250</v>
      </c>
      <c r="AB9" s="89"/>
      <c r="AC9" s="90">
        <v>606000</v>
      </c>
      <c r="AD9" s="89"/>
      <c r="AE9" s="90">
        <v>1000000</v>
      </c>
      <c r="AF9" s="89"/>
      <c r="AG9" s="90">
        <v>606308414362</v>
      </c>
      <c r="AH9" s="89"/>
      <c r="AI9" s="90">
        <v>605670487500</v>
      </c>
      <c r="AJ9" s="89"/>
      <c r="AK9" s="91">
        <f>AI9/2730270254471*100</f>
        <v>22.183536098969476</v>
      </c>
      <c r="AM9" s="40"/>
    </row>
    <row r="10" spans="1:39" ht="19.5" thickBot="1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92"/>
      <c r="O10" s="93"/>
      <c r="P10" s="92"/>
      <c r="Q10" s="94">
        <f>SUM(Q9)</f>
        <v>354571015000</v>
      </c>
      <c r="R10" s="92"/>
      <c r="S10" s="94">
        <f>SUM(S9)</f>
        <v>354207295000</v>
      </c>
      <c r="T10" s="79"/>
      <c r="U10" s="93"/>
      <c r="V10" s="93"/>
      <c r="W10" s="94">
        <f>SUM(W9)</f>
        <v>268746051250</v>
      </c>
      <c r="X10" s="92"/>
      <c r="Y10" s="93"/>
      <c r="Z10" s="92"/>
      <c r="AA10" s="94">
        <f>SUM(AA9)</f>
        <v>16990756250</v>
      </c>
      <c r="AB10" s="92"/>
      <c r="AC10" s="93"/>
      <c r="AD10" s="92"/>
      <c r="AE10" s="92"/>
      <c r="AF10" s="92"/>
      <c r="AG10" s="94">
        <f>SUM(AG9)</f>
        <v>606308414362</v>
      </c>
      <c r="AH10" s="92"/>
      <c r="AI10" s="94">
        <f>SUM(AI9)</f>
        <v>605670487500</v>
      </c>
      <c r="AJ10" s="92"/>
      <c r="AK10" s="95">
        <f>SUM(AK9)</f>
        <v>22.183536098969476</v>
      </c>
    </row>
    <row r="11" spans="1:39" ht="13.5" thickTop="1">
      <c r="AG11" s="40"/>
    </row>
    <row r="12" spans="1:39">
      <c r="Q12" s="40"/>
      <c r="S12" s="40"/>
      <c r="AG12" s="40"/>
      <c r="AI12" s="40"/>
    </row>
    <row r="13" spans="1:39">
      <c r="AG13" s="40"/>
      <c r="AI13" s="40"/>
    </row>
    <row r="14" spans="1:39">
      <c r="AG14" s="40"/>
      <c r="AI14" s="68"/>
    </row>
  </sheetData>
  <mergeCells count="9">
    <mergeCell ref="U7:W7"/>
    <mergeCell ref="Y7:AA7"/>
    <mergeCell ref="AC6:AK6"/>
    <mergeCell ref="O6:S6"/>
    <mergeCell ref="A1:AK1"/>
    <mergeCell ref="A2:AK2"/>
    <mergeCell ref="A3:AK3"/>
    <mergeCell ref="A6:M6"/>
    <mergeCell ref="U6:AA6"/>
  </mergeCells>
  <pageMargins left="0.39" right="0.39" top="0.39" bottom="0.39" header="0" footer="0"/>
  <pageSetup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66A8B-CF9C-4996-BA01-F7CCE0B5EA39}">
  <sheetPr>
    <tabColor rgb="FF92D050"/>
    <pageSetUpPr fitToPage="1"/>
  </sheetPr>
  <dimension ref="A1:M11"/>
  <sheetViews>
    <sheetView rightToLeft="1" view="pageBreakPreview" zoomScaleNormal="100" zoomScaleSheetLayoutView="100" workbookViewId="0">
      <selection activeCell="G29" sqref="G29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109" t="str">
        <f>سهام!A1</f>
        <v>صندوق سرمایه‌گذاری افق دماوند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21.75" customHeight="1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ht="21.75" customHeight="1">
      <c r="A3" s="109" t="str">
        <f>سهام!A3</f>
        <v>برای ماه منتهی به 1405/04/31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13" ht="14.45" customHeight="1">
      <c r="A4" s="113" t="s">
        <v>160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1:13" ht="14.45" customHeight="1">
      <c r="A5" s="113" t="s">
        <v>159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</row>
    <row r="6" spans="1:13" ht="14.45" customHeight="1"/>
    <row r="7" spans="1:13" ht="14.45" customHeight="1">
      <c r="C7" s="114" t="s">
        <v>169</v>
      </c>
      <c r="D7" s="114"/>
      <c r="E7" s="114"/>
      <c r="F7" s="114"/>
      <c r="G7" s="114"/>
      <c r="H7" s="114"/>
      <c r="I7" s="114"/>
      <c r="J7" s="114"/>
      <c r="K7" s="114"/>
      <c r="L7" s="114"/>
      <c r="M7" s="114"/>
    </row>
    <row r="8" spans="1:13" ht="14.45" customHeight="1">
      <c r="A8" s="42" t="s">
        <v>158</v>
      </c>
      <c r="C8" s="4" t="s">
        <v>5</v>
      </c>
      <c r="D8" s="3"/>
      <c r="E8" s="4" t="s">
        <v>157</v>
      </c>
      <c r="F8" s="3"/>
      <c r="G8" s="4" t="s">
        <v>156</v>
      </c>
      <c r="H8" s="3"/>
      <c r="I8" s="4" t="s">
        <v>155</v>
      </c>
      <c r="J8" s="3"/>
      <c r="K8" s="4" t="s">
        <v>154</v>
      </c>
      <c r="L8" s="3"/>
      <c r="M8" s="4" t="s">
        <v>153</v>
      </c>
    </row>
    <row r="9" spans="1:13" ht="21.75" customHeight="1">
      <c r="A9" s="6" t="s">
        <v>49</v>
      </c>
      <c r="C9" s="73">
        <v>606000</v>
      </c>
      <c r="E9" s="73">
        <v>1000000</v>
      </c>
      <c r="G9" s="73">
        <v>1000000</v>
      </c>
      <c r="I9" s="87" t="s">
        <v>152</v>
      </c>
      <c r="K9" s="73">
        <v>605670487500</v>
      </c>
      <c r="M9" s="35" t="s">
        <v>161</v>
      </c>
    </row>
    <row r="10" spans="1:13" ht="21.75" customHeight="1" thickBot="1">
      <c r="A10" s="22"/>
      <c r="C10" s="73"/>
      <c r="E10" s="73"/>
      <c r="G10" s="73"/>
      <c r="I10" s="73"/>
      <c r="K10" s="86">
        <f>SUM(K9:K9)</f>
        <v>605670487500</v>
      </c>
      <c r="M10" s="73"/>
    </row>
    <row r="11" spans="1:13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2"/>
  <sheetViews>
    <sheetView rightToLeft="1" view="pageBreakPreview" topLeftCell="A10" zoomScale="160" zoomScaleNormal="100" zoomScaleSheetLayoutView="160" workbookViewId="0">
      <selection activeCell="C28" sqref="C28"/>
    </sheetView>
  </sheetViews>
  <sheetFormatPr defaultRowHeight="12.75"/>
  <cols>
    <col min="1" max="1" width="37.7109375" bestFit="1" customWidth="1"/>
    <col min="2" max="2" width="1.28515625" customWidth="1"/>
    <col min="3" max="3" width="1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8554687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109" t="str">
        <f>سهام!A1</f>
        <v>صندوق سرمایه‌گذاری افق دماوند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ht="21.75" customHeight="1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21.75" customHeight="1">
      <c r="A3" s="109" t="str">
        <f>سهام!A3</f>
        <v>برای ماه منتهی به 1405/04/31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11" ht="14.45" customHeight="1"/>
    <row r="5" spans="1:11" ht="14.45" customHeight="1">
      <c r="A5" s="41" t="s">
        <v>120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4.45" customHeight="1">
      <c r="C6" s="2" t="s">
        <v>168</v>
      </c>
      <c r="E6" s="114" t="s">
        <v>1</v>
      </c>
      <c r="F6" s="114"/>
      <c r="G6" s="114"/>
      <c r="I6" s="119" t="s">
        <v>169</v>
      </c>
      <c r="J6" s="119"/>
      <c r="K6" s="119"/>
    </row>
    <row r="7" spans="1:11" ht="14.45" customHeight="1">
      <c r="A7" s="21" t="s">
        <v>53</v>
      </c>
      <c r="C7" s="2" t="s">
        <v>54</v>
      </c>
      <c r="E7" s="2" t="s">
        <v>55</v>
      </c>
      <c r="G7" s="2" t="s">
        <v>56</v>
      </c>
      <c r="I7" s="2" t="s">
        <v>54</v>
      </c>
      <c r="K7" s="2" t="s">
        <v>10</v>
      </c>
    </row>
    <row r="8" spans="1:11" ht="21" customHeight="1">
      <c r="A8" s="12" t="s">
        <v>136</v>
      </c>
      <c r="C8" s="93">
        <v>7750379748</v>
      </c>
      <c r="D8" s="100"/>
      <c r="E8" s="93">
        <v>165147814363</v>
      </c>
      <c r="F8" s="100"/>
      <c r="G8" s="93">
        <v>172695285690</v>
      </c>
      <c r="H8" s="100"/>
      <c r="I8" s="93">
        <f>C8+E8-G8</f>
        <v>202908421</v>
      </c>
      <c r="J8" s="79"/>
      <c r="K8" s="91">
        <f>I8/2730270254471*100</f>
        <v>7.4318071871355548E-3</v>
      </c>
    </row>
    <row r="9" spans="1:11" ht="21" customHeight="1">
      <c r="A9" s="12" t="s">
        <v>212</v>
      </c>
      <c r="C9" s="93">
        <v>0</v>
      </c>
      <c r="D9" s="100"/>
      <c r="E9" s="93">
        <v>7000000</v>
      </c>
      <c r="F9" s="100"/>
      <c r="G9" s="93">
        <v>3237080</v>
      </c>
      <c r="H9" s="100"/>
      <c r="I9" s="93">
        <f>C9+E9-G9</f>
        <v>3762920</v>
      </c>
      <c r="J9" s="79"/>
      <c r="K9" s="91">
        <f t="shared" ref="K9:K10" si="0">I9/2730270254471*100</f>
        <v>1.3782225381674094E-4</v>
      </c>
    </row>
    <row r="10" spans="1:11" ht="21" customHeight="1">
      <c r="A10" s="12" t="s">
        <v>137</v>
      </c>
      <c r="C10" s="93">
        <v>9274000</v>
      </c>
      <c r="D10" s="100"/>
      <c r="E10" s="93">
        <v>0</v>
      </c>
      <c r="F10" s="100"/>
      <c r="G10" s="93">
        <v>0</v>
      </c>
      <c r="H10" s="100"/>
      <c r="I10" s="93">
        <f t="shared" ref="I10" si="1">C10+E10-G10</f>
        <v>9274000</v>
      </c>
      <c r="J10" s="79"/>
      <c r="K10" s="91">
        <f t="shared" si="0"/>
        <v>3.3967333397905228E-4</v>
      </c>
    </row>
    <row r="11" spans="1:11" ht="21.75" customHeight="1" thickBot="1">
      <c r="A11" s="20"/>
      <c r="C11" s="101">
        <f>SUM(C8:C10)</f>
        <v>7759653748</v>
      </c>
      <c r="D11" s="100"/>
      <c r="E11" s="101">
        <f>SUM(E8:E10)</f>
        <v>165154814363</v>
      </c>
      <c r="F11" s="100"/>
      <c r="G11" s="101">
        <f>SUM(G8:G10)</f>
        <v>172698522770</v>
      </c>
      <c r="H11" s="100"/>
      <c r="I11" s="101">
        <f>SUM(I8:I10)</f>
        <v>215945341</v>
      </c>
      <c r="J11" s="79"/>
      <c r="K11" s="102">
        <f>SUM(K8:K10)</f>
        <v>7.9093027749313483E-3</v>
      </c>
    </row>
    <row r="12" spans="1:11" ht="13.5" thickTop="1">
      <c r="C12" s="40"/>
      <c r="I12" s="40"/>
    </row>
  </sheetData>
  <mergeCells count="5">
    <mergeCell ref="E6:G6"/>
    <mergeCell ref="A1:K1"/>
    <mergeCell ref="A2:K2"/>
    <mergeCell ref="A3:K3"/>
    <mergeCell ref="I6:K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S17"/>
  <sheetViews>
    <sheetView rightToLeft="1" view="pageBreakPreview" topLeftCell="A4" zoomScaleNormal="100" zoomScaleSheetLayoutView="100" workbookViewId="0">
      <selection activeCell="G14" sqref="F14:G1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6.42578125" hidden="1" customWidth="1"/>
    <col min="13" max="13" width="15.42578125" hidden="1" customWidth="1"/>
    <col min="14" max="14" width="15.42578125" bestFit="1" customWidth="1"/>
    <col min="15" max="16" width="14.85546875" bestFit="1" customWidth="1"/>
    <col min="17" max="18" width="15.42578125" bestFit="1" customWidth="1"/>
    <col min="19" max="19" width="14.42578125" bestFit="1" customWidth="1"/>
  </cols>
  <sheetData>
    <row r="1" spans="1:19" ht="29.1" customHeight="1">
      <c r="A1" s="109" t="str">
        <f>سهام!A1</f>
        <v>صندوق سرمایه‌گذاری افق دماوند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9" ht="21.75" customHeight="1">
      <c r="A2" s="109" t="s">
        <v>57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9" ht="21.75" customHeight="1">
      <c r="A3" s="109" t="str">
        <f>سهام!A3</f>
        <v>برای ماه منتهی به 1405/04/31</v>
      </c>
      <c r="B3" s="109"/>
      <c r="C3" s="109"/>
      <c r="D3" s="109"/>
      <c r="E3" s="109"/>
      <c r="F3" s="109"/>
      <c r="G3" s="109"/>
      <c r="H3" s="109"/>
      <c r="I3" s="109"/>
      <c r="J3" s="109"/>
    </row>
    <row r="4" spans="1:19" ht="14.45" customHeight="1"/>
    <row r="5" spans="1:19" ht="29.1" customHeight="1">
      <c r="A5" s="1" t="s">
        <v>58</v>
      </c>
      <c r="B5" s="113" t="s">
        <v>59</v>
      </c>
      <c r="C5" s="113"/>
      <c r="D5" s="113"/>
      <c r="E5" s="113"/>
      <c r="F5" s="113"/>
      <c r="G5" s="113"/>
      <c r="H5" s="113"/>
      <c r="I5" s="113"/>
      <c r="J5" s="113"/>
    </row>
    <row r="6" spans="1:19" ht="14.45" customHeight="1"/>
    <row r="7" spans="1:19" ht="14.45" customHeight="1">
      <c r="A7" s="111" t="s">
        <v>60</v>
      </c>
      <c r="B7" s="111"/>
      <c r="D7" s="2" t="s">
        <v>61</v>
      </c>
      <c r="F7" s="2" t="s">
        <v>54</v>
      </c>
      <c r="H7" s="2" t="s">
        <v>62</v>
      </c>
      <c r="J7" s="2" t="s">
        <v>63</v>
      </c>
    </row>
    <row r="8" spans="1:19" ht="21.75" customHeight="1">
      <c r="A8" s="121" t="s">
        <v>64</v>
      </c>
      <c r="B8" s="121"/>
      <c r="C8" s="31"/>
      <c r="D8" s="32" t="s">
        <v>65</v>
      </c>
      <c r="E8" s="31"/>
      <c r="F8" s="75">
        <f>'درآمد سرمایه گذاری در سهام'!S65</f>
        <v>234103142920</v>
      </c>
      <c r="G8" s="97"/>
      <c r="H8" s="80">
        <f>F8/$F$12*100</f>
        <v>89.402430102699711</v>
      </c>
      <c r="I8" s="97"/>
      <c r="J8" s="80">
        <f>F8/1780977753407*100</f>
        <v>13.144641614537973</v>
      </c>
      <c r="L8" s="47" t="e">
        <f>'درآمد سرمایه گذاری در سهام'!#REF!</f>
        <v>#REF!</v>
      </c>
      <c r="M8" s="40" t="e">
        <f>'درآمد سرمایه گذاری در سهام'!#REF!</f>
        <v>#REF!</v>
      </c>
      <c r="N8" s="40"/>
      <c r="O8" s="40"/>
      <c r="P8" s="40"/>
      <c r="Q8" s="40"/>
      <c r="R8" s="40"/>
      <c r="S8" s="40"/>
    </row>
    <row r="9" spans="1:19" ht="21.75" customHeight="1">
      <c r="A9" s="122" t="s">
        <v>67</v>
      </c>
      <c r="B9" s="122"/>
      <c r="C9" s="31"/>
      <c r="D9" s="35" t="s">
        <v>66</v>
      </c>
      <c r="E9" s="31"/>
      <c r="F9" s="77">
        <f>'درآمد سرمایه گذاری در اوراق'!Q10</f>
        <v>26849716907</v>
      </c>
      <c r="G9" s="97"/>
      <c r="H9" s="80">
        <f>F9/$F$12*100</f>
        <v>10.253727947068359</v>
      </c>
      <c r="I9" s="97"/>
      <c r="J9" s="80">
        <f t="shared" ref="J9:J11" si="0">F9/1780977753407*100</f>
        <v>1.5075829473802604</v>
      </c>
      <c r="L9" s="40">
        <f>'درآمد سرمایه گذاری در اوراق'!I10</f>
        <v>14248869643</v>
      </c>
      <c r="M9" s="40">
        <f>'درآمد سرمایه گذاری در اوراق'!I10</f>
        <v>14248869643</v>
      </c>
      <c r="N9" s="40"/>
      <c r="O9" s="40"/>
      <c r="P9" s="40"/>
      <c r="Q9" s="40"/>
    </row>
    <row r="10" spans="1:19" ht="21.75" customHeight="1">
      <c r="A10" s="122" t="s">
        <v>69</v>
      </c>
      <c r="B10" s="122"/>
      <c r="C10" s="31"/>
      <c r="D10" s="35" t="s">
        <v>68</v>
      </c>
      <c r="E10" s="31"/>
      <c r="F10" s="77">
        <f>'درآمد سپرده بانکی'!G11</f>
        <v>1398129</v>
      </c>
      <c r="G10" s="97"/>
      <c r="H10" s="80">
        <f>F10/$F$12*100</f>
        <v>5.3393614728091169E-4</v>
      </c>
      <c r="I10" s="97"/>
      <c r="J10" s="80">
        <f t="shared" si="0"/>
        <v>7.8503451114163972E-5</v>
      </c>
      <c r="L10" s="40">
        <f>'درآمد سپرده بانکی'!C11</f>
        <v>88533</v>
      </c>
      <c r="M10" s="40">
        <f>'درآمد سپرده بانکی'!C11</f>
        <v>88533</v>
      </c>
      <c r="N10" s="40"/>
    </row>
    <row r="11" spans="1:19" ht="21.75" customHeight="1">
      <c r="A11" s="122" t="s">
        <v>71</v>
      </c>
      <c r="B11" s="122"/>
      <c r="C11" s="31"/>
      <c r="D11" s="35" t="s">
        <v>70</v>
      </c>
      <c r="E11" s="31"/>
      <c r="F11" s="81">
        <f>'سایر درآمدها'!E10</f>
        <v>898963093</v>
      </c>
      <c r="G11" s="97"/>
      <c r="H11" s="80">
        <f>F11/$F$12*100</f>
        <v>0.34330801408464595</v>
      </c>
      <c r="I11" s="97"/>
      <c r="J11" s="80">
        <f t="shared" si="0"/>
        <v>5.0475818200440115E-2</v>
      </c>
      <c r="L11" s="40">
        <f>'سایر درآمدها'!C10</f>
        <v>145614506</v>
      </c>
      <c r="M11" s="40">
        <f>'سایر درآمدها'!C10</f>
        <v>145614506</v>
      </c>
      <c r="N11" s="40"/>
    </row>
    <row r="12" spans="1:19" ht="21.75" customHeight="1" thickBot="1">
      <c r="A12" s="120"/>
      <c r="B12" s="120"/>
      <c r="C12" s="31"/>
      <c r="D12" s="37"/>
      <c r="E12" s="31"/>
      <c r="F12" s="98">
        <f>SUM(F8:F11)</f>
        <v>261853221049</v>
      </c>
      <c r="G12" s="97"/>
      <c r="H12" s="99">
        <f>SUM(H8:H11)</f>
        <v>99.999999999999986</v>
      </c>
      <c r="I12" s="97"/>
      <c r="J12" s="99">
        <f>SUM(J8:J11)</f>
        <v>14.702778883569787</v>
      </c>
      <c r="L12" s="47" t="e">
        <f>SUM(L8:L11)</f>
        <v>#REF!</v>
      </c>
      <c r="M12" s="40" t="e">
        <f>SUM(M8:M11)</f>
        <v>#REF!</v>
      </c>
      <c r="N12" s="40"/>
    </row>
    <row r="13" spans="1:19" ht="13.5" thickTop="1">
      <c r="F13" s="40"/>
      <c r="L13" s="40">
        <v>467858349622</v>
      </c>
    </row>
    <row r="14" spans="1:19">
      <c r="F14" s="40"/>
      <c r="L14" s="47" t="e">
        <f>L12-L13</f>
        <v>#REF!</v>
      </c>
      <c r="M14" s="40">
        <v>506827360920</v>
      </c>
    </row>
    <row r="15" spans="1:19">
      <c r="F15" s="40"/>
      <c r="M15" s="40" t="e">
        <f>M12-M14</f>
        <v>#REF!</v>
      </c>
      <c r="N15" s="40"/>
    </row>
    <row r="16" spans="1:19">
      <c r="F16" s="40"/>
      <c r="N16" s="40"/>
    </row>
    <row r="17" spans="14:14">
      <c r="N17" s="40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70"/>
  <sheetViews>
    <sheetView rightToLeft="1" view="pageBreakPreview" topLeftCell="A50" zoomScale="96" zoomScaleNormal="100" zoomScaleSheetLayoutView="96" workbookViewId="0">
      <selection activeCell="U66" sqref="C66:U75"/>
    </sheetView>
  </sheetViews>
  <sheetFormatPr defaultRowHeight="12.75"/>
  <cols>
    <col min="1" max="1" width="29.85546875" bestFit="1" customWidth="1"/>
    <col min="2" max="2" width="1.28515625" customWidth="1"/>
    <col min="3" max="3" width="14.85546875" bestFit="1" customWidth="1"/>
    <col min="4" max="4" width="1.28515625" customWidth="1"/>
    <col min="5" max="5" width="16.5703125" bestFit="1" customWidth="1"/>
    <col min="6" max="6" width="1.28515625" customWidth="1"/>
    <col min="7" max="7" width="16.5703125" bestFit="1" customWidth="1"/>
    <col min="8" max="8" width="1.28515625" customWidth="1"/>
    <col min="9" max="9" width="16.5703125" bestFit="1" customWidth="1"/>
    <col min="10" max="10" width="1.28515625" customWidth="1"/>
    <col min="11" max="11" width="17.28515625" bestFit="1" customWidth="1"/>
    <col min="12" max="12" width="1.28515625" customWidth="1"/>
    <col min="13" max="13" width="16.5703125" bestFit="1" customWidth="1"/>
    <col min="14" max="14" width="1.28515625" customWidth="1"/>
    <col min="15" max="15" width="16.7109375" bestFit="1" customWidth="1"/>
    <col min="16" max="16" width="1.28515625" customWidth="1"/>
    <col min="17" max="17" width="17.7109375" bestFit="1" customWidth="1"/>
    <col min="18" max="18" width="1.28515625" customWidth="1"/>
    <col min="19" max="19" width="16.7109375" bestFit="1" customWidth="1"/>
    <col min="20" max="20" width="1.28515625" customWidth="1"/>
    <col min="21" max="21" width="17.28515625" bestFit="1" customWidth="1"/>
    <col min="22" max="22" width="0.28515625" customWidth="1"/>
  </cols>
  <sheetData>
    <row r="1" spans="1:21" ht="25.5">
      <c r="A1" s="109" t="str">
        <f>سهام!A1</f>
        <v>صندوق سرمایه‌گذاری افق دماوند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1" ht="25.5">
      <c r="A2" s="109" t="s">
        <v>57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25.5">
      <c r="A3" s="109" t="str">
        <f>سهام!A3</f>
        <v>برای ماه منتهی به 1405/04/31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</row>
    <row r="5" spans="1:21" ht="24">
      <c r="A5" s="110" t="s">
        <v>124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</row>
    <row r="6" spans="1:21" ht="21">
      <c r="C6" s="111" t="s">
        <v>72</v>
      </c>
      <c r="D6" s="111"/>
      <c r="E6" s="111"/>
      <c r="F6" s="111"/>
      <c r="G6" s="111"/>
      <c r="H6" s="111"/>
      <c r="I6" s="111"/>
      <c r="J6" s="111"/>
      <c r="K6" s="111"/>
      <c r="M6" s="111" t="s">
        <v>73</v>
      </c>
      <c r="N6" s="111"/>
      <c r="O6" s="111"/>
      <c r="P6" s="111"/>
      <c r="Q6" s="111"/>
      <c r="R6" s="111"/>
      <c r="S6" s="111"/>
      <c r="T6" s="111"/>
      <c r="U6" s="111"/>
    </row>
    <row r="7" spans="1:21" ht="21">
      <c r="C7" s="3"/>
      <c r="D7" s="3"/>
      <c r="E7" s="3"/>
      <c r="F7" s="3"/>
      <c r="G7" s="3"/>
      <c r="H7" s="3"/>
      <c r="I7" s="112" t="s">
        <v>36</v>
      </c>
      <c r="J7" s="112"/>
      <c r="K7" s="112"/>
      <c r="M7" s="3"/>
      <c r="N7" s="3"/>
      <c r="O7" s="3"/>
      <c r="P7" s="3"/>
      <c r="Q7" s="3"/>
      <c r="R7" s="3"/>
      <c r="S7" s="112" t="s">
        <v>36</v>
      </c>
      <c r="T7" s="112"/>
      <c r="U7" s="112"/>
    </row>
    <row r="8" spans="1:21" ht="21">
      <c r="A8" s="42" t="s">
        <v>74</v>
      </c>
      <c r="C8" s="2" t="s">
        <v>75</v>
      </c>
      <c r="E8" s="2" t="s">
        <v>76</v>
      </c>
      <c r="G8" s="2" t="s">
        <v>77</v>
      </c>
      <c r="I8" s="4" t="s">
        <v>54</v>
      </c>
      <c r="J8" s="3"/>
      <c r="K8" s="4" t="s">
        <v>62</v>
      </c>
      <c r="M8" s="2" t="s">
        <v>75</v>
      </c>
      <c r="N8" s="9"/>
      <c r="O8" s="42" t="s">
        <v>76</v>
      </c>
      <c r="P8" s="9"/>
      <c r="Q8" s="2" t="s">
        <v>77</v>
      </c>
      <c r="S8" s="4" t="s">
        <v>54</v>
      </c>
      <c r="T8" s="3"/>
      <c r="U8" s="4" t="s">
        <v>62</v>
      </c>
    </row>
    <row r="9" spans="1:21" ht="18.75">
      <c r="A9" s="12" t="s">
        <v>187</v>
      </c>
      <c r="C9" s="43">
        <f>IFERROR(VLOOKUP(A9,'درآمد سود سهام'!A:S,9,0),0)</f>
        <v>0</v>
      </c>
      <c r="D9" s="43"/>
      <c r="E9" s="43">
        <f>IFERROR(VLOOKUP(A9,'درآمد ناشی از تغییر قیمت اوراق'!A:Q,9,0),0)</f>
        <v>2898998438</v>
      </c>
      <c r="F9" s="43"/>
      <c r="G9" s="43">
        <f>IFERROR(VLOOKUP(A9,'درآمد اعمال اختیار'!A:L,10,0),0)</f>
        <v>-63576171</v>
      </c>
      <c r="H9" s="43"/>
      <c r="I9" s="43">
        <f>C9+E9+G9</f>
        <v>2835422267</v>
      </c>
      <c r="J9" s="43"/>
      <c r="K9" s="105">
        <f>I9/-205219172350*100</f>
        <v>-1.3816556389596022</v>
      </c>
      <c r="L9" s="43"/>
      <c r="M9" s="43">
        <f>IFERROR(VLOOKUP(A9,'درآمد سود سهام'!A:S,15,0),0)</f>
        <v>0</v>
      </c>
      <c r="N9" s="43"/>
      <c r="O9" s="43">
        <f>IFERROR(VLOOKUP(A9,'درآمد ناشی از تغییر قیمت اوراق'!A:Q,17,0),0)</f>
        <v>0</v>
      </c>
      <c r="P9" s="43"/>
      <c r="Q9" s="43">
        <f>IFERROR(VLOOKUP(A9,'درآمد اعمال اختیار'!A:L,12,0),0)</f>
        <v>-63576171</v>
      </c>
      <c r="R9" s="43"/>
      <c r="S9" s="43">
        <f>M9+O9+Q9</f>
        <v>-63576171</v>
      </c>
      <c r="T9" s="43"/>
      <c r="U9" s="105">
        <f>S9/درآمد!$F$12*100</f>
        <v>-2.4279316002037317E-2</v>
      </c>
    </row>
    <row r="10" spans="1:21" ht="18.75">
      <c r="A10" s="12" t="s">
        <v>186</v>
      </c>
      <c r="C10" s="43">
        <f>IFERROR(VLOOKUP(A10,'درآمد سود سهام'!A:S,9,0),0)</f>
        <v>0</v>
      </c>
      <c r="D10" s="43"/>
      <c r="E10" s="43">
        <f>IFERROR(VLOOKUP(A10,'درآمد ناشی از تغییر قیمت اوراق'!A:Q,9,0),0)</f>
        <v>14699300000</v>
      </c>
      <c r="F10" s="43"/>
      <c r="G10" s="43">
        <f>IFERROR(VLOOKUP(A10,'درآمد اعمال اختیار'!A:L,10,0),0)</f>
        <v>1682096085</v>
      </c>
      <c r="H10" s="43"/>
      <c r="I10" s="43">
        <f t="shared" ref="I10:I64" si="0">C10+E10+G10</f>
        <v>16381396085</v>
      </c>
      <c r="J10" s="43"/>
      <c r="K10" s="105">
        <f t="shared" ref="K10:K64" si="1">I10/-205219172350*100</f>
        <v>-7.9823906789087102</v>
      </c>
      <c r="L10" s="43"/>
      <c r="M10" s="43">
        <f>IFERROR(VLOOKUP(A10,'درآمد سود سهام'!A:S,15,0),0)</f>
        <v>0</v>
      </c>
      <c r="N10" s="43"/>
      <c r="O10" s="43">
        <f>IFERROR(VLOOKUP(A10,'درآمد ناشی از تغییر قیمت اوراق'!A:Q,17,0),0)</f>
        <v>0</v>
      </c>
      <c r="P10" s="43"/>
      <c r="Q10" s="43">
        <f>IFERROR(VLOOKUP(A10,'درآمد اعمال اختیار'!A:L,12,0),0)</f>
        <v>1682096085</v>
      </c>
      <c r="R10" s="43"/>
      <c r="S10" s="43">
        <f t="shared" ref="S10:S64" si="2">M10+O10+Q10</f>
        <v>1682096085</v>
      </c>
      <c r="T10" s="43"/>
      <c r="U10" s="105">
        <f>S10/درآمد!$F$12*100</f>
        <v>0.6423812845461363</v>
      </c>
    </row>
    <row r="11" spans="1:21" ht="18.75">
      <c r="A11" s="12" t="s">
        <v>207</v>
      </c>
      <c r="C11" s="43">
        <f>IFERROR(VLOOKUP(A11,'درآمد سود سهام'!A:S,9,0),0)</f>
        <v>0</v>
      </c>
      <c r="D11" s="43"/>
      <c r="E11" s="43">
        <f>IFERROR(VLOOKUP(A11,'درآمد ناشی از تغییر قیمت اوراق'!A:Q,9,0),0)</f>
        <v>-1</v>
      </c>
      <c r="F11" s="43"/>
      <c r="G11" s="43">
        <f>IFERROR(VLOOKUP(A11,'درآمد اعمال اختیار'!A:L,10,0),0)</f>
        <v>0</v>
      </c>
      <c r="H11" s="43"/>
      <c r="I11" s="43">
        <f t="shared" si="0"/>
        <v>-1</v>
      </c>
      <c r="J11" s="43"/>
      <c r="K11" s="105">
        <f t="shared" si="1"/>
        <v>4.8728390654188309E-10</v>
      </c>
      <c r="L11" s="43"/>
      <c r="M11" s="43">
        <f>IFERROR(VLOOKUP(A11,'درآمد سود سهام'!A:S,15,0),0)</f>
        <v>0</v>
      </c>
      <c r="N11" s="43"/>
      <c r="O11" s="43">
        <f>IFERROR(VLOOKUP(A11,'درآمد ناشی از تغییر قیمت اوراق'!A:Q,17,0),0)</f>
        <v>-1</v>
      </c>
      <c r="P11" s="43"/>
      <c r="Q11" s="43">
        <f>IFERROR(VLOOKUP(A11,'درآمد اعمال اختیار'!A:L,12,0),0)</f>
        <v>25012631</v>
      </c>
      <c r="R11" s="43"/>
      <c r="S11" s="43">
        <f t="shared" si="2"/>
        <v>25012630</v>
      </c>
      <c r="T11" s="43"/>
      <c r="U11" s="105">
        <f>S11/درآمد!$F$12*100</f>
        <v>9.5521567005354656E-3</v>
      </c>
    </row>
    <row r="12" spans="1:21" ht="18.75">
      <c r="A12" s="12" t="s">
        <v>143</v>
      </c>
      <c r="C12" s="43">
        <f>IFERROR(VLOOKUP(A12,'درآمد سود سهام'!A:S,9,0),0)</f>
        <v>0</v>
      </c>
      <c r="D12" s="43"/>
      <c r="E12" s="43">
        <f>IFERROR(VLOOKUP(A12,'درآمد ناشی از تغییر قیمت اوراق'!A:Q,9,0),0)</f>
        <v>0</v>
      </c>
      <c r="F12" s="43"/>
      <c r="G12" s="43">
        <f>IFERROR(VLOOKUP(A12,'درآمد اعمال اختیار'!A:L,10,0),0)</f>
        <v>0</v>
      </c>
      <c r="H12" s="43"/>
      <c r="I12" s="43">
        <f t="shared" si="0"/>
        <v>0</v>
      </c>
      <c r="J12" s="43"/>
      <c r="K12" s="105">
        <f t="shared" si="1"/>
        <v>0</v>
      </c>
      <c r="L12" s="43"/>
      <c r="M12" s="43">
        <f>IFERROR(VLOOKUP(A12,'درآمد سود سهام'!A:S,15,0),0)</f>
        <v>0</v>
      </c>
      <c r="N12" s="43"/>
      <c r="O12" s="43">
        <f>IFERROR(VLOOKUP(A12,'درآمد ناشی از تغییر قیمت اوراق'!A:Q,17,0),0)</f>
        <v>0</v>
      </c>
      <c r="P12" s="43"/>
      <c r="Q12" s="43">
        <f>IFERROR(VLOOKUP(A12,'درآمد اعمال اختیار'!A:L,12,0),0)</f>
        <v>860979948</v>
      </c>
      <c r="R12" s="43"/>
      <c r="S12" s="43">
        <f t="shared" si="2"/>
        <v>860979948</v>
      </c>
      <c r="T12" s="43"/>
      <c r="U12" s="105">
        <f>S12/درآمد!$F$12*100</f>
        <v>0.32880250414749979</v>
      </c>
    </row>
    <row r="13" spans="1:21" ht="18.75">
      <c r="A13" s="12" t="s">
        <v>190</v>
      </c>
      <c r="C13" s="43">
        <f>IFERROR(VLOOKUP(A13,'درآمد سود سهام'!A:S,9,0),0)</f>
        <v>0</v>
      </c>
      <c r="D13" s="43"/>
      <c r="E13" s="43">
        <f>IFERROR(VLOOKUP(A13,'درآمد ناشی از تغییر قیمت اوراق'!A:Q,9,0),0)</f>
        <v>593112117</v>
      </c>
      <c r="F13" s="43"/>
      <c r="G13" s="43">
        <f>IFERROR(VLOOKUP(A13,'درآمد اعمال اختیار'!A:L,10,0),0)</f>
        <v>0</v>
      </c>
      <c r="H13" s="43"/>
      <c r="I13" s="43">
        <f t="shared" si="0"/>
        <v>593112117</v>
      </c>
      <c r="J13" s="43"/>
      <c r="K13" s="105">
        <f t="shared" si="1"/>
        <v>-0.28901398938908646</v>
      </c>
      <c r="L13" s="43"/>
      <c r="M13" s="43">
        <f>IFERROR(VLOOKUP(A13,'درآمد سود سهام'!A:S,15,0),0)</f>
        <v>0</v>
      </c>
      <c r="N13" s="43"/>
      <c r="O13" s="43">
        <f>IFERROR(VLOOKUP(A13,'درآمد ناشی از تغییر قیمت اوراق'!A:Q,17,0),0)</f>
        <v>-7583875213</v>
      </c>
      <c r="P13" s="43"/>
      <c r="Q13" s="43">
        <f>IFERROR(VLOOKUP(A13,'درآمد اعمال اختیار'!A:L,12,0),0)</f>
        <v>120732330</v>
      </c>
      <c r="R13" s="43"/>
      <c r="S13" s="43">
        <f t="shared" si="2"/>
        <v>-7463142883</v>
      </c>
      <c r="T13" s="43"/>
      <c r="U13" s="105">
        <f>S13/درآمد!$F$12*100</f>
        <v>-2.8501245289640487</v>
      </c>
    </row>
    <row r="14" spans="1:21" ht="18.75">
      <c r="A14" s="12" t="s">
        <v>189</v>
      </c>
      <c r="C14" s="43">
        <f>IFERROR(VLOOKUP(A14,'درآمد سود سهام'!A:S,9,0),0)</f>
        <v>0</v>
      </c>
      <c r="D14" s="43"/>
      <c r="E14" s="43">
        <f>IFERROR(VLOOKUP(A14,'درآمد ناشی از تغییر قیمت اوراق'!A:Q,9,0),0)</f>
        <v>327754000</v>
      </c>
      <c r="F14" s="43"/>
      <c r="G14" s="43">
        <f>IFERROR(VLOOKUP(A14,'درآمد اعمال اختیار'!A:L,10,0),0)</f>
        <v>0</v>
      </c>
      <c r="H14" s="43"/>
      <c r="I14" s="43">
        <f t="shared" si="0"/>
        <v>327754000</v>
      </c>
      <c r="J14" s="43"/>
      <c r="K14" s="105">
        <f t="shared" si="1"/>
        <v>-0.15970924950472837</v>
      </c>
      <c r="L14" s="43"/>
      <c r="M14" s="43">
        <f>IFERROR(VLOOKUP(A14,'درآمد سود سهام'!A:S,15,0),0)</f>
        <v>0</v>
      </c>
      <c r="N14" s="43"/>
      <c r="O14" s="43">
        <f>IFERROR(VLOOKUP(A14,'درآمد ناشی از تغییر قیمت اوراق'!A:Q,17,0),0)</f>
        <v>336829000</v>
      </c>
      <c r="P14" s="43"/>
      <c r="Q14" s="43">
        <f>IFERROR(VLOOKUP(A14,'درآمد اعمال اختیار'!A:L,12,0),0)</f>
        <v>0</v>
      </c>
      <c r="R14" s="43"/>
      <c r="S14" s="43">
        <f t="shared" si="2"/>
        <v>336829000</v>
      </c>
      <c r="T14" s="43"/>
      <c r="U14" s="105">
        <f>S14/درآمد!$F$12*100</f>
        <v>0.12863275030593188</v>
      </c>
    </row>
    <row r="15" spans="1:21" ht="18.75">
      <c r="A15" s="12" t="s">
        <v>194</v>
      </c>
      <c r="C15" s="43">
        <f>IFERROR(VLOOKUP(A15,'درآمد سود سهام'!A:S,9,0),0)</f>
        <v>0</v>
      </c>
      <c r="D15" s="43"/>
      <c r="E15" s="43">
        <f>IFERROR(VLOOKUP(A15,'درآمد ناشی از تغییر قیمت اوراق'!A:Q,9,0),0)</f>
        <v>0</v>
      </c>
      <c r="F15" s="43"/>
      <c r="G15" s="43">
        <f>IFERROR(VLOOKUP(A15,'درآمد اعمال اختیار'!A:L,10,0),0)</f>
        <v>0</v>
      </c>
      <c r="H15" s="43"/>
      <c r="I15" s="43">
        <f t="shared" si="0"/>
        <v>0</v>
      </c>
      <c r="J15" s="43"/>
      <c r="K15" s="105">
        <f t="shared" si="1"/>
        <v>0</v>
      </c>
      <c r="L15" s="43"/>
      <c r="M15" s="43">
        <f>IFERROR(VLOOKUP(A15,'درآمد سود سهام'!A:S,15,0),0)</f>
        <v>0</v>
      </c>
      <c r="N15" s="43"/>
      <c r="O15" s="43">
        <f>IFERROR(VLOOKUP(A15,'درآمد ناشی از تغییر قیمت اوراق'!A:Q,17,0),0)</f>
        <v>0</v>
      </c>
      <c r="P15" s="43"/>
      <c r="Q15" s="43">
        <f>IFERROR(VLOOKUP(A15,'درآمد اعمال اختیار'!A:L,12,0),0)</f>
        <v>610784507</v>
      </c>
      <c r="R15" s="43"/>
      <c r="S15" s="43">
        <f t="shared" si="2"/>
        <v>610784507</v>
      </c>
      <c r="T15" s="43"/>
      <c r="U15" s="105">
        <f>S15/درآمد!$F$12*100</f>
        <v>0.23325453265503471</v>
      </c>
    </row>
    <row r="16" spans="1:21" ht="18.75">
      <c r="A16" s="12" t="s">
        <v>188</v>
      </c>
      <c r="C16" s="43">
        <f>IFERROR(VLOOKUP(A16,'درآمد سود سهام'!A:S,9,0),0)</f>
        <v>0</v>
      </c>
      <c r="D16" s="43"/>
      <c r="E16" s="43">
        <f>IFERROR(VLOOKUP(A16,'درآمد ناشی از تغییر قیمت اوراق'!A:Q,9,0),0)</f>
        <v>3593402926</v>
      </c>
      <c r="F16" s="43"/>
      <c r="G16" s="43">
        <f>IFERROR(VLOOKUP(A16,'درآمد اعمال اختیار'!A:L,10,0),0)</f>
        <v>0</v>
      </c>
      <c r="H16" s="43"/>
      <c r="I16" s="43">
        <f t="shared" si="0"/>
        <v>3593402926</v>
      </c>
      <c r="J16" s="43"/>
      <c r="K16" s="105">
        <f t="shared" si="1"/>
        <v>-1.7510074155603133</v>
      </c>
      <c r="L16" s="43"/>
      <c r="M16" s="43">
        <f>IFERROR(VLOOKUP(A16,'درآمد سود سهام'!A:S,15,0),0)</f>
        <v>0</v>
      </c>
      <c r="N16" s="43"/>
      <c r="O16" s="43">
        <f>IFERROR(VLOOKUP(A16,'درآمد ناشی از تغییر قیمت اوراق'!A:Q,17,0),0)</f>
        <v>3698190333</v>
      </c>
      <c r="P16" s="43"/>
      <c r="Q16" s="43">
        <f>IFERROR(VLOOKUP(A16,'درآمد اعمال اختیار'!A:L,12,0),0)</f>
        <v>0</v>
      </c>
      <c r="R16" s="43"/>
      <c r="S16" s="43">
        <f t="shared" si="2"/>
        <v>3698190333</v>
      </c>
      <c r="T16" s="43"/>
      <c r="U16" s="105">
        <f>S16/درآمد!$F$12*100</f>
        <v>1.4123142416139942</v>
      </c>
    </row>
    <row r="17" spans="1:21" ht="18.75">
      <c r="A17" s="12" t="s">
        <v>170</v>
      </c>
      <c r="C17" s="43">
        <f>IFERROR(VLOOKUP(A17,'درآمد سود سهام'!A:S,9,0),0)</f>
        <v>0</v>
      </c>
      <c r="D17" s="43"/>
      <c r="E17" s="43">
        <f>IFERROR(VLOOKUP(A17,'درآمد ناشی از تغییر قیمت اوراق'!A:Q,9,0),0)</f>
        <v>-1158818669</v>
      </c>
      <c r="F17" s="43"/>
      <c r="G17" s="43">
        <f>IFERROR(VLOOKUP(A17,'درآمد ناشی از فروش'!A:Q,9,0),0)</f>
        <v>1672441889</v>
      </c>
      <c r="H17" s="43"/>
      <c r="I17" s="43">
        <f t="shared" si="0"/>
        <v>513623220</v>
      </c>
      <c r="J17" s="43"/>
      <c r="K17" s="105">
        <f t="shared" si="1"/>
        <v>-0.25028032913222109</v>
      </c>
      <c r="L17" s="43"/>
      <c r="M17" s="43">
        <f>IFERROR(VLOOKUP(A17,'درآمد سود سهام'!A:S,15,0),0)</f>
        <v>0</v>
      </c>
      <c r="N17" s="43"/>
      <c r="O17" s="43">
        <f>IFERROR(VLOOKUP(A17,'درآمد ناشی از تغییر قیمت اوراق'!A:Q,17,0),0)</f>
        <v>0</v>
      </c>
      <c r="P17" s="43"/>
      <c r="Q17" s="43">
        <f>IFERROR(VLOOKUP(A17,'درآمد ناشی از فروش'!A:Q,17,0),0)</f>
        <v>2125322518</v>
      </c>
      <c r="R17" s="43"/>
      <c r="S17" s="43">
        <f t="shared" si="2"/>
        <v>2125322518</v>
      </c>
      <c r="T17" s="43"/>
      <c r="U17" s="105">
        <f>S17/درآمد!$F$12*100</f>
        <v>0.8116465054299612</v>
      </c>
    </row>
    <row r="18" spans="1:21" ht="18.75">
      <c r="A18" s="12" t="s">
        <v>171</v>
      </c>
      <c r="C18" s="43">
        <f>IFERROR(VLOOKUP(A18,'درآمد سود سهام'!A:S,9,0),0)</f>
        <v>0</v>
      </c>
      <c r="D18" s="43"/>
      <c r="E18" s="43">
        <f>IFERROR(VLOOKUP(A18,'درآمد ناشی از تغییر قیمت اوراق'!A:Q,9,0),0)</f>
        <v>-2141213479</v>
      </c>
      <c r="F18" s="43"/>
      <c r="G18" s="43">
        <f>IFERROR(VLOOKUP(A18,'درآمد ناشی از فروش'!A:Q,9,0),0)</f>
        <v>0</v>
      </c>
      <c r="H18" s="43"/>
      <c r="I18" s="43">
        <f t="shared" si="0"/>
        <v>-2141213479</v>
      </c>
      <c r="J18" s="43"/>
      <c r="K18" s="105">
        <f t="shared" si="1"/>
        <v>1.0433788687872565</v>
      </c>
      <c r="L18" s="43"/>
      <c r="M18" s="43">
        <f>IFERROR(VLOOKUP(A18,'درآمد سود سهام'!A:S,15,0),0)</f>
        <v>0</v>
      </c>
      <c r="N18" s="43"/>
      <c r="O18" s="43">
        <f>IFERROR(VLOOKUP(A18,'درآمد ناشی از تغییر قیمت اوراق'!A:Q,17,0),0)</f>
        <v>309500742</v>
      </c>
      <c r="P18" s="43"/>
      <c r="Q18" s="43">
        <f>IFERROR(VLOOKUP(A18,'درآمد ناشی از فروش'!A:Q,17,0),0)</f>
        <v>0</v>
      </c>
      <c r="R18" s="43"/>
      <c r="S18" s="43">
        <f t="shared" si="2"/>
        <v>309500742</v>
      </c>
      <c r="T18" s="43"/>
      <c r="U18" s="105">
        <f>S18/درآمد!$F$12*100</f>
        <v>0.11819627070467995</v>
      </c>
    </row>
    <row r="19" spans="1:21" ht="18.75">
      <c r="A19" s="12" t="s">
        <v>172</v>
      </c>
      <c r="C19" s="43">
        <f>IFERROR(VLOOKUP(A19,'درآمد سود سهام'!A:S,9,0),0)</f>
        <v>0</v>
      </c>
      <c r="D19" s="43"/>
      <c r="E19" s="43">
        <f>IFERROR(VLOOKUP(A19,'درآمد ناشی از تغییر قیمت اوراق'!A:Q,9,0),0)</f>
        <v>203625109</v>
      </c>
      <c r="F19" s="43"/>
      <c r="G19" s="43">
        <f>IFERROR(VLOOKUP(A19,'درآمد ناشی از فروش'!A:Q,9,0),0)</f>
        <v>161484551</v>
      </c>
      <c r="H19" s="43"/>
      <c r="I19" s="43">
        <f t="shared" si="0"/>
        <v>365109660</v>
      </c>
      <c r="J19" s="43"/>
      <c r="K19" s="105">
        <f t="shared" si="1"/>
        <v>-0.17791206144097871</v>
      </c>
      <c r="L19" s="43"/>
      <c r="M19" s="43">
        <f>IFERROR(VLOOKUP(A19,'درآمد سود سهام'!A:S,15,0),0)</f>
        <v>0</v>
      </c>
      <c r="N19" s="43"/>
      <c r="O19" s="43">
        <f>IFERROR(VLOOKUP(A19,'درآمد ناشی از تغییر قیمت اوراق'!A:Q,17,0),0)</f>
        <v>0</v>
      </c>
      <c r="P19" s="43"/>
      <c r="Q19" s="43">
        <f>IFERROR(VLOOKUP(A19,'درآمد ناشی از فروش'!A:Q,17,0),0)</f>
        <v>161484551</v>
      </c>
      <c r="R19" s="43"/>
      <c r="S19" s="43">
        <f t="shared" si="2"/>
        <v>161484551</v>
      </c>
      <c r="T19" s="43"/>
      <c r="U19" s="105">
        <f>S19/درآمد!$F$12*100</f>
        <v>6.1669873814453394E-2</v>
      </c>
    </row>
    <row r="20" spans="1:21" ht="18.75">
      <c r="A20" s="12" t="s">
        <v>173</v>
      </c>
      <c r="C20" s="43">
        <f>IFERROR(VLOOKUP(A20,'درآمد سود سهام'!A:S,9,0),0)</f>
        <v>613763400</v>
      </c>
      <c r="D20" s="43"/>
      <c r="E20" s="43">
        <f>IFERROR(VLOOKUP(A20,'درآمد ناشی از تغییر قیمت اوراق'!A:Q,9,0),0)</f>
        <v>-18367930870</v>
      </c>
      <c r="F20" s="43"/>
      <c r="G20" s="43">
        <f>IFERROR(VLOOKUP(A20,'درآمد ناشی از فروش'!A:Q,9,0),0)</f>
        <v>0</v>
      </c>
      <c r="H20" s="43"/>
      <c r="I20" s="43">
        <f t="shared" si="0"/>
        <v>-17754167470</v>
      </c>
      <c r="J20" s="43"/>
      <c r="K20" s="105">
        <f t="shared" si="1"/>
        <v>8.6513200821804208</v>
      </c>
      <c r="L20" s="43"/>
      <c r="M20" s="43">
        <f>IFERROR(VLOOKUP(A20,'درآمد سود سهام'!A:S,15,0),0)</f>
        <v>613763400</v>
      </c>
      <c r="N20" s="43"/>
      <c r="O20" s="43">
        <f>IFERROR(VLOOKUP(A20,'درآمد ناشی از تغییر قیمت اوراق'!A:Q,17,0),0)</f>
        <v>1924525977</v>
      </c>
      <c r="P20" s="43"/>
      <c r="Q20" s="43">
        <f>IFERROR(VLOOKUP(A20,'درآمد ناشی از فروش'!A:Q,17,0),0)</f>
        <v>0</v>
      </c>
      <c r="R20" s="43"/>
      <c r="S20" s="43">
        <f t="shared" si="2"/>
        <v>2538289377</v>
      </c>
      <c r="T20" s="43"/>
      <c r="U20" s="105">
        <f>S20/درآمد!$F$12*100</f>
        <v>0.9693557966678652</v>
      </c>
    </row>
    <row r="21" spans="1:21" ht="18.75">
      <c r="A21" s="12" t="s">
        <v>210</v>
      </c>
      <c r="C21" s="43">
        <f>IFERROR(VLOOKUP(A21,'درآمد سود سهام'!A:S,9,0),0)</f>
        <v>0</v>
      </c>
      <c r="D21" s="43"/>
      <c r="E21" s="43">
        <f>IFERROR(VLOOKUP(A21,'درآمد ناشی از تغییر قیمت اوراق'!A:Q,9,0),0)</f>
        <v>-708480780</v>
      </c>
      <c r="F21" s="43"/>
      <c r="G21" s="43">
        <f>IFERROR(VLOOKUP(A21,'درآمد ناشی از فروش'!A:Q,9,0),0)</f>
        <v>0</v>
      </c>
      <c r="H21" s="43"/>
      <c r="I21" s="43">
        <f t="shared" si="0"/>
        <v>-708480780</v>
      </c>
      <c r="J21" s="43"/>
      <c r="K21" s="105">
        <f t="shared" si="1"/>
        <v>0.34523128218824045</v>
      </c>
      <c r="L21" s="43"/>
      <c r="M21" s="43">
        <f>IFERROR(VLOOKUP(A21,'درآمد سود سهام'!A:S,15,0),0)</f>
        <v>0</v>
      </c>
      <c r="N21" s="43"/>
      <c r="O21" s="43">
        <f>IFERROR(VLOOKUP(A21,'درآمد ناشی از تغییر قیمت اوراق'!A:Q,17,0),0)</f>
        <v>3147559518</v>
      </c>
      <c r="P21" s="43"/>
      <c r="Q21" s="43">
        <f>IFERROR(VLOOKUP(A21,'درآمد ناشی از فروش'!A:Q,17,0),0)</f>
        <v>0</v>
      </c>
      <c r="R21" s="43"/>
      <c r="S21" s="43">
        <f t="shared" si="2"/>
        <v>3147559518</v>
      </c>
      <c r="T21" s="43"/>
      <c r="U21" s="105">
        <f>S21/درآمد!$F$12*100</f>
        <v>1.2020320030399794</v>
      </c>
    </row>
    <row r="22" spans="1:21" ht="18.75">
      <c r="A22" s="12" t="s">
        <v>146</v>
      </c>
      <c r="C22" s="43">
        <f>IFERROR(VLOOKUP(A22,'درآمد سود سهام'!A:S,9,0),0)</f>
        <v>0</v>
      </c>
      <c r="D22" s="43"/>
      <c r="E22" s="43">
        <f>IFERROR(VLOOKUP(A22,'درآمد ناشی از تغییر قیمت اوراق'!A:Q,9,0),0)</f>
        <v>-5548773840</v>
      </c>
      <c r="F22" s="43"/>
      <c r="G22" s="43">
        <f>IFERROR(VLOOKUP(A22,'درآمد ناشی از فروش'!A:Q,9,0),0)</f>
        <v>4760948400</v>
      </c>
      <c r="H22" s="43"/>
      <c r="I22" s="43">
        <f t="shared" si="0"/>
        <v>-787825440</v>
      </c>
      <c r="J22" s="43"/>
      <c r="K22" s="105">
        <f t="shared" si="1"/>
        <v>0.38389465807627793</v>
      </c>
      <c r="L22" s="43"/>
      <c r="M22" s="43">
        <f>IFERROR(VLOOKUP(A22,'درآمد سود سهام'!A:S,15,0),0)</f>
        <v>0</v>
      </c>
      <c r="N22" s="43"/>
      <c r="O22" s="43">
        <f>IFERROR(VLOOKUP(A22,'درآمد ناشی از تغییر قیمت اوراق'!A:Q,17,0),0)</f>
        <v>0</v>
      </c>
      <c r="P22" s="43"/>
      <c r="Q22" s="43">
        <f>IFERROR(VLOOKUP(A22,'درآمد ناشی از فروش'!A:Q,17,0),0)</f>
        <v>4760948400</v>
      </c>
      <c r="R22" s="43"/>
      <c r="S22" s="43">
        <f t="shared" si="2"/>
        <v>4760948400</v>
      </c>
      <c r="T22" s="43"/>
      <c r="U22" s="105">
        <f>S22/درآمد!$F$12*100</f>
        <v>1.8181744646589986</v>
      </c>
    </row>
    <row r="23" spans="1:21" ht="18.75">
      <c r="A23" s="12" t="s">
        <v>147</v>
      </c>
      <c r="C23" s="43">
        <f>IFERROR(VLOOKUP(A23,'درآمد سود سهام'!A:S,9,0),0)</f>
        <v>0</v>
      </c>
      <c r="D23" s="43"/>
      <c r="E23" s="43">
        <f>IFERROR(VLOOKUP(A23,'درآمد ناشی از تغییر قیمت اوراق'!A:Q,9,0),0)</f>
        <v>1303459069</v>
      </c>
      <c r="F23" s="43"/>
      <c r="G23" s="43">
        <f>IFERROR(VLOOKUP(A23,'درآمد ناشی از فروش'!A:Q,9,0),0)</f>
        <v>-1745789329</v>
      </c>
      <c r="H23" s="43"/>
      <c r="I23" s="43">
        <f t="shared" si="0"/>
        <v>-442330260</v>
      </c>
      <c r="J23" s="43"/>
      <c r="K23" s="105">
        <f t="shared" si="1"/>
        <v>0.21554041707448685</v>
      </c>
      <c r="L23" s="43"/>
      <c r="M23" s="43">
        <f>IFERROR(VLOOKUP(A23,'درآمد سود سهام'!A:S,15,0),0)</f>
        <v>0</v>
      </c>
      <c r="N23" s="43"/>
      <c r="O23" s="43">
        <f>IFERROR(VLOOKUP(A23,'درآمد ناشی از تغییر قیمت اوراق'!A:Q,17,0),0)</f>
        <v>0</v>
      </c>
      <c r="P23" s="43"/>
      <c r="Q23" s="43">
        <f>IFERROR(VLOOKUP(A23,'درآمد ناشی از فروش'!A:Q,17,0),0)</f>
        <v>-1745789329</v>
      </c>
      <c r="R23" s="43"/>
      <c r="S23" s="43">
        <f t="shared" si="2"/>
        <v>-1745789329</v>
      </c>
      <c r="T23" s="43"/>
      <c r="U23" s="105">
        <f>S23/درآمد!$F$12*100</f>
        <v>-0.66670530994664157</v>
      </c>
    </row>
    <row r="24" spans="1:21" ht="18.75">
      <c r="A24" s="12" t="s">
        <v>11</v>
      </c>
      <c r="C24" s="43">
        <f>IFERROR(VLOOKUP(A24,'درآمد سود سهام'!A:S,9,0),0)</f>
        <v>8122558840</v>
      </c>
      <c r="D24" s="43"/>
      <c r="E24" s="43">
        <f>IFERROR(VLOOKUP(A24,'درآمد ناشی از تغییر قیمت اوراق'!A:Q,9,0),0)</f>
        <v>-17050322804</v>
      </c>
      <c r="F24" s="43"/>
      <c r="G24" s="43">
        <f>IFERROR(VLOOKUP(A24,'درآمد ناشی از فروش'!A:Q,9,0),0)</f>
        <v>1242348203</v>
      </c>
      <c r="H24" s="43"/>
      <c r="I24" s="43">
        <f t="shared" si="0"/>
        <v>-7685415761</v>
      </c>
      <c r="J24" s="43"/>
      <c r="K24" s="105">
        <f t="shared" si="1"/>
        <v>3.7449794154186393</v>
      </c>
      <c r="L24" s="43"/>
      <c r="M24" s="43">
        <f>IFERROR(VLOOKUP(A24,'درآمد سود سهام'!A:S,15,0),0)</f>
        <v>8122558840</v>
      </c>
      <c r="N24" s="43"/>
      <c r="O24" s="43">
        <f>IFERROR(VLOOKUP(A24,'درآمد ناشی از تغییر قیمت اوراق'!A:Q,17,0),0)</f>
        <v>-9264149226</v>
      </c>
      <c r="P24" s="43"/>
      <c r="Q24" s="43">
        <f>IFERROR(VLOOKUP(A24,'درآمد ناشی از فروش'!A:Q,17,0),0)</f>
        <v>5619503203</v>
      </c>
      <c r="R24" s="43"/>
      <c r="S24" s="43">
        <f t="shared" si="2"/>
        <v>4477912817</v>
      </c>
      <c r="T24" s="43"/>
      <c r="U24" s="105">
        <f>S24/درآمد!$F$12*100</f>
        <v>1.7100850617995866</v>
      </c>
    </row>
    <row r="25" spans="1:21" ht="18.75">
      <c r="A25" s="12" t="s">
        <v>12</v>
      </c>
      <c r="C25" s="43">
        <f>IFERROR(VLOOKUP(A25,'درآمد سود سهام'!A:S,9,0),0)</f>
        <v>0</v>
      </c>
      <c r="D25" s="43"/>
      <c r="E25" s="43">
        <f>IFERROR(VLOOKUP(A25,'درآمد ناشی از تغییر قیمت اوراق'!A:Q,9,0),0)</f>
        <v>-39365417948</v>
      </c>
      <c r="F25" s="43"/>
      <c r="G25" s="43">
        <f>IFERROR(VLOOKUP(A25,'درآمد ناشی از فروش'!A:Q,9,0),0)</f>
        <v>0</v>
      </c>
      <c r="H25" s="43"/>
      <c r="I25" s="43">
        <f t="shared" si="0"/>
        <v>-39365417948</v>
      </c>
      <c r="J25" s="43"/>
      <c r="K25" s="105">
        <f t="shared" si="1"/>
        <v>19.1821346403554</v>
      </c>
      <c r="L25" s="43"/>
      <c r="M25" s="43">
        <f>IFERROR(VLOOKUP(A25,'درآمد سود سهام'!A:S,15,0),0)</f>
        <v>0</v>
      </c>
      <c r="N25" s="43"/>
      <c r="O25" s="43">
        <f>IFERROR(VLOOKUP(A25,'درآمد ناشی از تغییر قیمت اوراق'!A:Q,17,0),0)</f>
        <v>-41164979927</v>
      </c>
      <c r="P25" s="43"/>
      <c r="Q25" s="43">
        <f>IFERROR(VLOOKUP(A25,'درآمد ناشی از فروش'!A:Q,17,0),0)</f>
        <v>2540517286</v>
      </c>
      <c r="R25" s="43"/>
      <c r="S25" s="43">
        <f t="shared" si="2"/>
        <v>-38624462641</v>
      </c>
      <c r="T25" s="43"/>
      <c r="U25" s="105">
        <f>S25/درآمد!$F$12*100</f>
        <v>-14.750424870187977</v>
      </c>
    </row>
    <row r="26" spans="1:21" ht="18.75">
      <c r="A26" s="12" t="s">
        <v>13</v>
      </c>
      <c r="C26" s="43">
        <f>IFERROR(VLOOKUP(A26,'درآمد سود سهام'!A:S,9,0),0)</f>
        <v>4445123100</v>
      </c>
      <c r="D26" s="43"/>
      <c r="E26" s="43">
        <f>IFERROR(VLOOKUP(A26,'درآمد ناشی از تغییر قیمت اوراق'!A:Q,9,0),0)</f>
        <v>-6856730482</v>
      </c>
      <c r="F26" s="43"/>
      <c r="G26" s="43">
        <f>IFERROR(VLOOKUP(A26,'درآمد ناشی از فروش'!A:Q,9,0),0)</f>
        <v>0</v>
      </c>
      <c r="H26" s="43"/>
      <c r="I26" s="43">
        <f t="shared" si="0"/>
        <v>-2411607382</v>
      </c>
      <c r="J26" s="43"/>
      <c r="K26" s="105">
        <f t="shared" si="1"/>
        <v>1.1751374661462033</v>
      </c>
      <c r="L26" s="43"/>
      <c r="M26" s="43">
        <f>IFERROR(VLOOKUP(A26,'درآمد سود سهام'!A:S,15,0),0)</f>
        <v>4445123100</v>
      </c>
      <c r="N26" s="43"/>
      <c r="O26" s="43">
        <f>IFERROR(VLOOKUP(A26,'درآمد ناشی از تغییر قیمت اوراق'!A:Q,17,0),0)</f>
        <v>4372193884</v>
      </c>
      <c r="P26" s="43"/>
      <c r="Q26" s="43">
        <f>IFERROR(VLOOKUP(A26,'درآمد ناشی از فروش'!A:Q,17,0),0)</f>
        <v>2209063877</v>
      </c>
      <c r="R26" s="43"/>
      <c r="S26" s="43">
        <f t="shared" si="2"/>
        <v>11026380861</v>
      </c>
      <c r="T26" s="43"/>
      <c r="U26" s="105">
        <f>S26/درآمد!$F$12*100</f>
        <v>4.2109013655923899</v>
      </c>
    </row>
    <row r="27" spans="1:21" ht="18.75">
      <c r="A27" s="12" t="s">
        <v>78</v>
      </c>
      <c r="C27" s="43">
        <f>IFERROR(VLOOKUP(A27,'درآمد سود سهام'!A:S,9,0),0)</f>
        <v>0</v>
      </c>
      <c r="D27" s="43"/>
      <c r="E27" s="43">
        <f>IFERROR(VLOOKUP(A27,'درآمد ناشی از تغییر قیمت اوراق'!A:Q,9,0),0)</f>
        <v>10384105550</v>
      </c>
      <c r="F27" s="43"/>
      <c r="G27" s="43">
        <f>IFERROR(VLOOKUP(A27,'درآمد ناشی از فروش'!A:Q,9,0),0)</f>
        <v>-12936372280</v>
      </c>
      <c r="H27" s="43"/>
      <c r="I27" s="43">
        <f t="shared" si="0"/>
        <v>-2552266730</v>
      </c>
      <c r="J27" s="43"/>
      <c r="K27" s="105">
        <f t="shared" si="1"/>
        <v>1.2436785027312776</v>
      </c>
      <c r="L27" s="43"/>
      <c r="M27" s="43">
        <f>IFERROR(VLOOKUP(A27,'درآمد سود سهام'!A:S,15,0),0)</f>
        <v>0</v>
      </c>
      <c r="N27" s="43"/>
      <c r="O27" s="43">
        <f>IFERROR(VLOOKUP(A27,'درآمد ناشی از تغییر قیمت اوراق'!A:Q,17,0),0)</f>
        <v>0</v>
      </c>
      <c r="P27" s="43"/>
      <c r="Q27" s="43">
        <f>IFERROR(VLOOKUP(A27,'درآمد ناشی از فروش'!A:Q,17,0),0)</f>
        <v>-12936372280</v>
      </c>
      <c r="R27" s="43"/>
      <c r="S27" s="43">
        <f t="shared" si="2"/>
        <v>-12936372280</v>
      </c>
      <c r="T27" s="43"/>
      <c r="U27" s="105">
        <f>S27/درآمد!$F$12*100</f>
        <v>-4.9403143593865693</v>
      </c>
    </row>
    <row r="28" spans="1:21" ht="18.75">
      <c r="A28" s="12" t="s">
        <v>148</v>
      </c>
      <c r="C28" s="43">
        <f>IFERROR(VLOOKUP(A28,'درآمد سود سهام'!A:S,9,0),0)</f>
        <v>0</v>
      </c>
      <c r="D28" s="43"/>
      <c r="E28" s="43">
        <f>IFERROR(VLOOKUP(A28,'درآمد ناشی از تغییر قیمت اوراق'!A:Q,9,0),0)</f>
        <v>0</v>
      </c>
      <c r="F28" s="43"/>
      <c r="G28" s="43">
        <f>IFERROR(VLOOKUP(A28,'درآمد ناشی از فروش'!A:Q,9,0),0)</f>
        <v>0</v>
      </c>
      <c r="H28" s="43"/>
      <c r="I28" s="43">
        <f t="shared" si="0"/>
        <v>0</v>
      </c>
      <c r="J28" s="43"/>
      <c r="K28" s="105">
        <f t="shared" si="1"/>
        <v>0</v>
      </c>
      <c r="L28" s="43"/>
      <c r="M28" s="43">
        <f>IFERROR(VLOOKUP(A28,'درآمد سود سهام'!A:S,15,0),0)</f>
        <v>5632638000</v>
      </c>
      <c r="N28" s="43"/>
      <c r="O28" s="43">
        <f>IFERROR(VLOOKUP(A28,'درآمد ناشی از تغییر قیمت اوراق'!A:Q,17,0),0)</f>
        <v>0</v>
      </c>
      <c r="P28" s="43"/>
      <c r="Q28" s="43">
        <f>IFERROR(VLOOKUP(A28,'درآمد ناشی از فروش'!A:Q,17,0),0)</f>
        <v>0</v>
      </c>
      <c r="R28" s="43"/>
      <c r="S28" s="43">
        <f t="shared" si="2"/>
        <v>5632638000</v>
      </c>
      <c r="T28" s="43"/>
      <c r="U28" s="105">
        <f>S28/درآمد!$F$12*100</f>
        <v>2.151066913530912</v>
      </c>
    </row>
    <row r="29" spans="1:21" ht="18.75">
      <c r="A29" s="12" t="s">
        <v>16</v>
      </c>
      <c r="C29" s="43">
        <f>IFERROR(VLOOKUP(A29,'درآمد سود سهام'!A:S,9,0),0)</f>
        <v>0</v>
      </c>
      <c r="D29" s="43"/>
      <c r="E29" s="43">
        <f>IFERROR(VLOOKUP(A29,'درآمد ناشی از تغییر قیمت اوراق'!A:Q,9,0),0)</f>
        <v>0</v>
      </c>
      <c r="F29" s="43"/>
      <c r="G29" s="43">
        <f>IFERROR(VLOOKUP(A29,'درآمد ناشی از فروش'!A:Q,9,0),0)</f>
        <v>0</v>
      </c>
      <c r="H29" s="43"/>
      <c r="I29" s="43">
        <f t="shared" si="0"/>
        <v>0</v>
      </c>
      <c r="J29" s="43"/>
      <c r="K29" s="105">
        <f t="shared" si="1"/>
        <v>0</v>
      </c>
      <c r="L29" s="43"/>
      <c r="M29" s="43">
        <f>IFERROR(VLOOKUP(A29,'درآمد سود سهام'!A:S,15,0),0)</f>
        <v>1035982500</v>
      </c>
      <c r="N29" s="43"/>
      <c r="O29" s="43">
        <f>IFERROR(VLOOKUP(A29,'درآمد ناشی از تغییر قیمت اوراق'!A:Q,17,0),0)</f>
        <v>-1027974355</v>
      </c>
      <c r="P29" s="43"/>
      <c r="Q29" s="43">
        <f>IFERROR(VLOOKUP(A29,'درآمد ناشی از فروش'!A:Q,17,0),0)</f>
        <v>0</v>
      </c>
      <c r="R29" s="43"/>
      <c r="S29" s="43">
        <f t="shared" si="2"/>
        <v>8008145</v>
      </c>
      <c r="T29" s="43"/>
      <c r="U29" s="105">
        <f>S29/درآمد!$F$12*100</f>
        <v>3.0582572052842744E-3</v>
      </c>
    </row>
    <row r="30" spans="1:21" ht="18.75">
      <c r="A30" s="12" t="s">
        <v>150</v>
      </c>
      <c r="C30" s="43">
        <f>IFERROR(VLOOKUP(A30,'درآمد سود سهام'!A:S,9,0),0)</f>
        <v>3711101900</v>
      </c>
      <c r="D30" s="43"/>
      <c r="E30" s="43">
        <f>IFERROR(VLOOKUP(A30,'درآمد ناشی از تغییر قیمت اوراق'!A:Q,9,0),0)</f>
        <v>9589710217</v>
      </c>
      <c r="F30" s="43"/>
      <c r="G30" s="43">
        <f>IFERROR(VLOOKUP(A30,'درآمد ناشی از فروش'!A:Q,9,0),0)</f>
        <v>0</v>
      </c>
      <c r="H30" s="43"/>
      <c r="I30" s="43">
        <f t="shared" si="0"/>
        <v>13300812117</v>
      </c>
      <c r="J30" s="43"/>
      <c r="K30" s="105">
        <f t="shared" si="1"/>
        <v>-6.4812716885513737</v>
      </c>
      <c r="L30" s="43"/>
      <c r="M30" s="43">
        <f>IFERROR(VLOOKUP(A30,'درآمد سود سهام'!A:S,15,0),0)</f>
        <v>3711101900</v>
      </c>
      <c r="N30" s="43"/>
      <c r="O30" s="43">
        <f>IFERROR(VLOOKUP(A30,'درآمد ناشی از تغییر قیمت اوراق'!A:Q,17,0),0)</f>
        <v>22345889061</v>
      </c>
      <c r="P30" s="43"/>
      <c r="Q30" s="43">
        <f>IFERROR(VLOOKUP(A30,'درآمد ناشی از فروش'!A:Q,17,0),0)</f>
        <v>0</v>
      </c>
      <c r="R30" s="43"/>
      <c r="S30" s="43">
        <f t="shared" si="2"/>
        <v>26056990961</v>
      </c>
      <c r="T30" s="43"/>
      <c r="U30" s="105">
        <f>S30/درآمد!$F$12*100</f>
        <v>9.9509911914064304</v>
      </c>
    </row>
    <row r="31" spans="1:21" ht="18.75">
      <c r="A31" s="12" t="s">
        <v>14</v>
      </c>
      <c r="C31" s="43">
        <f>IFERROR(VLOOKUP(A31,'درآمد سود سهام'!A:S,9,0),0)</f>
        <v>0</v>
      </c>
      <c r="D31" s="43"/>
      <c r="E31" s="43">
        <f>IFERROR(VLOOKUP(A31,'درآمد ناشی از تغییر قیمت اوراق'!A:Q,9,0),0)</f>
        <v>-393794546</v>
      </c>
      <c r="F31" s="43"/>
      <c r="G31" s="43">
        <f>IFERROR(VLOOKUP(A31,'درآمد ناشی از فروش'!A:Q,9,0),0)</f>
        <v>0</v>
      </c>
      <c r="H31" s="43"/>
      <c r="I31" s="43">
        <f t="shared" si="0"/>
        <v>-393794546</v>
      </c>
      <c r="J31" s="43"/>
      <c r="K31" s="105">
        <f t="shared" si="1"/>
        <v>0.1918897447497673</v>
      </c>
      <c r="L31" s="43"/>
      <c r="M31" s="43">
        <f>IFERROR(VLOOKUP(A31,'درآمد سود سهام'!A:S,15,0),0)</f>
        <v>0</v>
      </c>
      <c r="N31" s="43"/>
      <c r="O31" s="43">
        <f>IFERROR(VLOOKUP(A31,'درآمد ناشی از تغییر قیمت اوراق'!A:Q,17,0),0)</f>
        <v>1125127272</v>
      </c>
      <c r="P31" s="43"/>
      <c r="Q31" s="43">
        <f>IFERROR(VLOOKUP(A31,'درآمد ناشی از فروش'!A:Q,17,0),0)</f>
        <v>0</v>
      </c>
      <c r="R31" s="43"/>
      <c r="S31" s="43">
        <f t="shared" si="2"/>
        <v>1125127272</v>
      </c>
      <c r="T31" s="43"/>
      <c r="U31" s="105">
        <f>S31/درآمد!$F$12*100</f>
        <v>0.42967860677545661</v>
      </c>
    </row>
    <row r="32" spans="1:21" ht="18.75">
      <c r="A32" s="12" t="s">
        <v>135</v>
      </c>
      <c r="C32" s="43">
        <f>IFERROR(VLOOKUP(A32,'درآمد سود سهام'!A:S,9,0),0)</f>
        <v>0</v>
      </c>
      <c r="D32" s="43"/>
      <c r="E32" s="43">
        <f>IFERROR(VLOOKUP(A32,'درآمد ناشی از تغییر قیمت اوراق'!A:Q,9,0),0)</f>
        <v>-1889776677</v>
      </c>
      <c r="F32" s="43"/>
      <c r="G32" s="43">
        <f>IFERROR(VLOOKUP(A32,'درآمد ناشی از فروش'!A:Q,9,0),0)</f>
        <v>0</v>
      </c>
      <c r="H32" s="43"/>
      <c r="I32" s="43">
        <f t="shared" si="0"/>
        <v>-1889776677</v>
      </c>
      <c r="J32" s="43"/>
      <c r="K32" s="105">
        <f t="shared" si="1"/>
        <v>0.92085776166029842</v>
      </c>
      <c r="L32" s="43"/>
      <c r="M32" s="43">
        <f>IFERROR(VLOOKUP(A32,'درآمد سود سهام'!A:S,15,0),0)</f>
        <v>0</v>
      </c>
      <c r="N32" s="43"/>
      <c r="O32" s="43">
        <f>IFERROR(VLOOKUP(A32,'درآمد ناشی از تغییر قیمت اوراق'!A:Q,17,0),0)</f>
        <v>194719407</v>
      </c>
      <c r="P32" s="43"/>
      <c r="Q32" s="43">
        <f>IFERROR(VLOOKUP(A32,'درآمد ناشی از فروش'!A:Q,17,0),0)</f>
        <v>481168624</v>
      </c>
      <c r="R32" s="43"/>
      <c r="S32" s="43">
        <f t="shared" si="2"/>
        <v>675888031</v>
      </c>
      <c r="T32" s="43"/>
      <c r="U32" s="105">
        <f>S32/درآمد!$F$12*100</f>
        <v>0.25811713458874069</v>
      </c>
    </row>
    <row r="33" spans="1:21" ht="18.75">
      <c r="A33" s="12" t="s">
        <v>15</v>
      </c>
      <c r="C33" s="43">
        <f>IFERROR(VLOOKUP(A33,'درآمد سود سهام'!A:S,9,0),0)</f>
        <v>0</v>
      </c>
      <c r="D33" s="43"/>
      <c r="E33" s="43">
        <f>IFERROR(VLOOKUP(A33,'درآمد ناشی از تغییر قیمت اوراق'!A:Q,9,0),0)</f>
        <v>-28558102842</v>
      </c>
      <c r="F33" s="43"/>
      <c r="G33" s="43">
        <f>IFERROR(VLOOKUP(A33,'درآمد ناشی از فروش'!A:Q,9,0),0)</f>
        <v>0</v>
      </c>
      <c r="H33" s="43"/>
      <c r="I33" s="43">
        <f t="shared" si="0"/>
        <v>-28558102842</v>
      </c>
      <c r="J33" s="43"/>
      <c r="K33" s="105">
        <f t="shared" si="1"/>
        <v>13.915903916274614</v>
      </c>
      <c r="L33" s="43"/>
      <c r="M33" s="43">
        <f>IFERROR(VLOOKUP(A33,'درآمد سود سهام'!A:S,15,0),0)</f>
        <v>0</v>
      </c>
      <c r="N33" s="43"/>
      <c r="O33" s="43">
        <f>IFERROR(VLOOKUP(A33,'درآمد ناشی از تغییر قیمت اوراق'!A:Q,17,0),0)</f>
        <v>6800838542</v>
      </c>
      <c r="P33" s="43"/>
      <c r="Q33" s="43">
        <f>IFERROR(VLOOKUP(A33,'درآمد ناشی از فروش'!A:Q,17,0),0)</f>
        <v>17995222396</v>
      </c>
      <c r="R33" s="43"/>
      <c r="S33" s="43">
        <f t="shared" si="2"/>
        <v>24796060938</v>
      </c>
      <c r="T33" s="43"/>
      <c r="U33" s="105">
        <f>S33/درآمد!$F$12*100</f>
        <v>9.4694504190803794</v>
      </c>
    </row>
    <row r="34" spans="1:21" ht="18.75">
      <c r="A34" s="12" t="s">
        <v>17</v>
      </c>
      <c r="C34" s="43">
        <f>IFERROR(VLOOKUP(A34,'درآمد سود سهام'!A:S,9,0),0)</f>
        <v>0</v>
      </c>
      <c r="D34" s="43"/>
      <c r="E34" s="43">
        <f>IFERROR(VLOOKUP(A34,'درآمد ناشی از تغییر قیمت اوراق'!A:Q,9,0),0)</f>
        <v>-7526048677</v>
      </c>
      <c r="F34" s="43"/>
      <c r="G34" s="43">
        <f>IFERROR(VLOOKUP(A34,'درآمد ناشی از فروش'!A:Q,9,0),0)</f>
        <v>0</v>
      </c>
      <c r="H34" s="43"/>
      <c r="I34" s="43">
        <f t="shared" si="0"/>
        <v>-7526048677</v>
      </c>
      <c r="J34" s="43"/>
      <c r="K34" s="105">
        <f t="shared" si="1"/>
        <v>3.6673224001529308</v>
      </c>
      <c r="L34" s="43"/>
      <c r="M34" s="43">
        <f>IFERROR(VLOOKUP(A34,'درآمد سود سهام'!A:S,15,0),0)</f>
        <v>7062721888</v>
      </c>
      <c r="N34" s="43"/>
      <c r="O34" s="43">
        <f>IFERROR(VLOOKUP(A34,'درآمد ناشی از تغییر قیمت اوراق'!A:Q,17,0),0)</f>
        <v>687864664</v>
      </c>
      <c r="P34" s="43"/>
      <c r="Q34" s="43">
        <f>IFERROR(VLOOKUP(A34,'درآمد ناشی از فروش'!A:Q,17,0),0)</f>
        <v>0</v>
      </c>
      <c r="R34" s="43"/>
      <c r="S34" s="43">
        <f t="shared" si="2"/>
        <v>7750586552</v>
      </c>
      <c r="T34" s="43"/>
      <c r="U34" s="105">
        <f>S34/درآمد!$F$12*100</f>
        <v>2.9598973504892081</v>
      </c>
    </row>
    <row r="35" spans="1:21" ht="18.75">
      <c r="A35" s="12" t="s">
        <v>206</v>
      </c>
      <c r="C35" s="43">
        <f>IFERROR(VLOOKUP(A35,'درآمد سود سهام'!A:S,9,0),0)</f>
        <v>0</v>
      </c>
      <c r="D35" s="43"/>
      <c r="E35" s="43">
        <f>IFERROR(VLOOKUP(A35,'درآمد ناشی از تغییر قیمت اوراق'!A:Q,9,0),0)</f>
        <v>6962936741</v>
      </c>
      <c r="F35" s="43"/>
      <c r="G35" s="43">
        <f>IFERROR(VLOOKUP(A35,'درآمد ناشی از فروش'!A:Q,9,0),0)</f>
        <v>-7202645065</v>
      </c>
      <c r="H35" s="43"/>
      <c r="I35" s="43">
        <f t="shared" si="0"/>
        <v>-239708324</v>
      </c>
      <c r="J35" s="43"/>
      <c r="K35" s="105">
        <f t="shared" si="1"/>
        <v>0.11680600854932745</v>
      </c>
      <c r="L35" s="43"/>
      <c r="M35" s="43">
        <f>IFERROR(VLOOKUP(A35,'درآمد سود سهام'!A:S,15,0),0)</f>
        <v>0</v>
      </c>
      <c r="N35" s="43"/>
      <c r="O35" s="43">
        <f>IFERROR(VLOOKUP(A35,'درآمد ناشی از تغییر قیمت اوراق'!A:Q,17,0),0)</f>
        <v>-216513315</v>
      </c>
      <c r="P35" s="43"/>
      <c r="Q35" s="43">
        <f>IFERROR(VLOOKUP(A35,'درآمد ناشی از فروش'!A:Q,17,0),0)</f>
        <v>-7202645065</v>
      </c>
      <c r="R35" s="43"/>
      <c r="S35" s="43">
        <f t="shared" si="2"/>
        <v>-7419158380</v>
      </c>
      <c r="T35" s="43"/>
      <c r="U35" s="105">
        <f>S35/درآمد!$F$12*100</f>
        <v>-2.8333271404027025</v>
      </c>
    </row>
    <row r="36" spans="1:21" ht="18.75">
      <c r="A36" s="12" t="s">
        <v>18</v>
      </c>
      <c r="C36" s="43">
        <f>IFERROR(VLOOKUP(A36,'درآمد سود سهام'!A:S,9,0),0)</f>
        <v>0</v>
      </c>
      <c r="D36" s="43"/>
      <c r="E36" s="43">
        <f>IFERROR(VLOOKUP(A36,'درآمد ناشی از تغییر قیمت اوراق'!A:Q,9,0),0)</f>
        <v>-14951495677</v>
      </c>
      <c r="F36" s="43"/>
      <c r="G36" s="43">
        <f>IFERROR(VLOOKUP(A36,'درآمد ناشی از فروش'!A:Q,9,0),0)</f>
        <v>-48989162</v>
      </c>
      <c r="H36" s="43"/>
      <c r="I36" s="43">
        <f t="shared" si="0"/>
        <v>-15000484839</v>
      </c>
      <c r="J36" s="43"/>
      <c r="K36" s="105">
        <f t="shared" si="1"/>
        <v>7.3094948523702099</v>
      </c>
      <c r="L36" s="43"/>
      <c r="M36" s="43">
        <f>IFERROR(VLOOKUP(A36,'درآمد سود سهام'!A:S,15,0),0)</f>
        <v>9048220000</v>
      </c>
      <c r="N36" s="43"/>
      <c r="O36" s="43">
        <f>IFERROR(VLOOKUP(A36,'درآمد ناشی از تغییر قیمت اوراق'!A:Q,17,0),0)</f>
        <v>-14771930131</v>
      </c>
      <c r="P36" s="43"/>
      <c r="Q36" s="43">
        <f>IFERROR(VLOOKUP(A36,'درآمد ناشی از فروش'!A:Q,17,0),0)</f>
        <v>-48989162</v>
      </c>
      <c r="R36" s="43"/>
      <c r="S36" s="43">
        <f t="shared" si="2"/>
        <v>-5772699293</v>
      </c>
      <c r="T36" s="43"/>
      <c r="U36" s="105">
        <f>S36/درآمد!$F$12*100</f>
        <v>-2.2045553878902897</v>
      </c>
    </row>
    <row r="37" spans="1:21" ht="18.75">
      <c r="A37" s="12" t="s">
        <v>21</v>
      </c>
      <c r="C37" s="43">
        <f>IFERROR(VLOOKUP(A37,'درآمد سود سهام'!A:S,9,0),0)</f>
        <v>0</v>
      </c>
      <c r="D37" s="43"/>
      <c r="E37" s="43">
        <f>IFERROR(VLOOKUP(A37,'درآمد ناشی از تغییر قیمت اوراق'!A:Q,9,0),0)</f>
        <v>-4181666286</v>
      </c>
      <c r="F37" s="43"/>
      <c r="G37" s="43">
        <f>IFERROR(VLOOKUP(A37,'درآمد ناشی از فروش'!A:Q,9,0),0)</f>
        <v>0</v>
      </c>
      <c r="H37" s="43"/>
      <c r="I37" s="43">
        <f t="shared" si="0"/>
        <v>-4181666286</v>
      </c>
      <c r="J37" s="43"/>
      <c r="K37" s="105">
        <f t="shared" si="1"/>
        <v>2.0376586836965673</v>
      </c>
      <c r="L37" s="43"/>
      <c r="M37" s="43">
        <f>IFERROR(VLOOKUP(A37,'درآمد سود سهام'!A:S,15,0),0)</f>
        <v>2318545000</v>
      </c>
      <c r="N37" s="43"/>
      <c r="O37" s="43">
        <f>IFERROR(VLOOKUP(A37,'درآمد ناشی از تغییر قیمت اوراق'!A:Q,17,0),0)</f>
        <v>-141226812</v>
      </c>
      <c r="P37" s="43"/>
      <c r="Q37" s="43">
        <f>IFERROR(VLOOKUP(A37,'درآمد ناشی از فروش'!A:Q,17,0),0)</f>
        <v>0</v>
      </c>
      <c r="R37" s="43"/>
      <c r="S37" s="43">
        <f t="shared" si="2"/>
        <v>2177318188</v>
      </c>
      <c r="T37" s="43"/>
      <c r="U37" s="105">
        <f>S37/درآمد!$F$12*100</f>
        <v>0.831503305278251</v>
      </c>
    </row>
    <row r="38" spans="1:21" ht="18.75">
      <c r="A38" s="12" t="s">
        <v>19</v>
      </c>
      <c r="C38" s="43">
        <f>IFERROR(VLOOKUP(A38,'درآمد سود سهام'!A:S,9,0),0)</f>
        <v>9686558400</v>
      </c>
      <c r="D38" s="43"/>
      <c r="E38" s="43">
        <f>IFERROR(VLOOKUP(A38,'درآمد ناشی از تغییر قیمت اوراق'!A:Q,9,0),0)</f>
        <v>-20004311713</v>
      </c>
      <c r="F38" s="43"/>
      <c r="G38" s="43">
        <f>IFERROR(VLOOKUP(A38,'درآمد ناشی از فروش'!A:Q,9,0),0)</f>
        <v>0</v>
      </c>
      <c r="H38" s="43"/>
      <c r="I38" s="43">
        <f t="shared" si="0"/>
        <v>-10317753313</v>
      </c>
      <c r="J38" s="43"/>
      <c r="K38" s="105">
        <f t="shared" si="1"/>
        <v>5.0276751410940967</v>
      </c>
      <c r="L38" s="43"/>
      <c r="M38" s="43">
        <f>IFERROR(VLOOKUP(A38,'درآمد سود سهام'!A:S,15,0),0)</f>
        <v>9686558400</v>
      </c>
      <c r="N38" s="43"/>
      <c r="O38" s="43">
        <f>IFERROR(VLOOKUP(A38,'درآمد ناشی از تغییر قیمت اوراق'!A:Q,17,0),0)</f>
        <v>-10692995451</v>
      </c>
      <c r="P38" s="43"/>
      <c r="Q38" s="43">
        <f>IFERROR(VLOOKUP(A38,'درآمد ناشی از فروش'!A:Q,17,0),0)</f>
        <v>-10040</v>
      </c>
      <c r="R38" s="43"/>
      <c r="S38" s="43">
        <f t="shared" si="2"/>
        <v>-1006447091</v>
      </c>
      <c r="T38" s="43"/>
      <c r="U38" s="105">
        <f>S38/درآمد!$F$12*100</f>
        <v>-0.3843554365946355</v>
      </c>
    </row>
    <row r="39" spans="1:21" ht="18.75">
      <c r="A39" s="12" t="s">
        <v>20</v>
      </c>
      <c r="C39" s="43">
        <f>IFERROR(VLOOKUP(A39,'درآمد سود سهام'!A:S,9,0),0)</f>
        <v>0</v>
      </c>
      <c r="D39" s="43"/>
      <c r="E39" s="43">
        <f>IFERROR(VLOOKUP(A39,'درآمد ناشی از تغییر قیمت اوراق'!A:Q,9,0),0)</f>
        <v>330227456</v>
      </c>
      <c r="F39" s="43"/>
      <c r="G39" s="43">
        <f>IFERROR(VLOOKUP(A39,'درآمد ناشی از فروش'!A:Q,9,0),0)</f>
        <v>0</v>
      </c>
      <c r="H39" s="43"/>
      <c r="I39" s="43">
        <f t="shared" si="0"/>
        <v>330227456</v>
      </c>
      <c r="J39" s="43"/>
      <c r="K39" s="105">
        <f t="shared" si="1"/>
        <v>-0.1609145248070678</v>
      </c>
      <c r="L39" s="43"/>
      <c r="M39" s="43">
        <f>IFERROR(VLOOKUP(A39,'درآمد سود سهام'!A:S,15,0),0)</f>
        <v>384000000</v>
      </c>
      <c r="N39" s="43"/>
      <c r="O39" s="43">
        <f>IFERROR(VLOOKUP(A39,'درآمد ناشی از تغییر قیمت اوراق'!A:Q,17,0),0)</f>
        <v>833506800</v>
      </c>
      <c r="P39" s="43"/>
      <c r="Q39" s="43">
        <f>IFERROR(VLOOKUP(A39,'درآمد ناشی از فروش'!A:Q,17,0),0)</f>
        <v>0</v>
      </c>
      <c r="R39" s="43"/>
      <c r="S39" s="43">
        <f t="shared" si="2"/>
        <v>1217506800</v>
      </c>
      <c r="T39" s="43"/>
      <c r="U39" s="105">
        <f>S39/درآمد!$F$12*100</f>
        <v>0.46495773285606085</v>
      </c>
    </row>
    <row r="40" spans="1:21" ht="18.75">
      <c r="A40" s="12" t="s">
        <v>22</v>
      </c>
      <c r="C40" s="43">
        <f>IFERROR(VLOOKUP(A40,'درآمد سود سهام'!A:S,9,0),0)</f>
        <v>0</v>
      </c>
      <c r="D40" s="43"/>
      <c r="E40" s="43">
        <f>IFERROR(VLOOKUP(A40,'درآمد ناشی از تغییر قیمت اوراق'!A:Q,9,0),0)</f>
        <v>93178866</v>
      </c>
      <c r="F40" s="43"/>
      <c r="G40" s="43">
        <f>IFERROR(VLOOKUP(A40,'درآمد ناشی از فروش'!A:Q,9,0),0)</f>
        <v>0</v>
      </c>
      <c r="H40" s="43"/>
      <c r="I40" s="43">
        <f t="shared" si="0"/>
        <v>93178866</v>
      </c>
      <c r="J40" s="43"/>
      <c r="K40" s="105">
        <f t="shared" si="1"/>
        <v>-4.5404561831622649E-2</v>
      </c>
      <c r="L40" s="43"/>
      <c r="M40" s="43">
        <f>IFERROR(VLOOKUP(A40,'درآمد سود سهام'!A:S,15,0),0)</f>
        <v>319276150</v>
      </c>
      <c r="N40" s="43"/>
      <c r="O40" s="43">
        <f>IFERROR(VLOOKUP(A40,'درآمد ناشی از تغییر قیمت اوراق'!A:Q,17,0),0)</f>
        <v>280654745</v>
      </c>
      <c r="P40" s="43"/>
      <c r="Q40" s="43">
        <f>IFERROR(VLOOKUP(A40,'درآمد ناشی از فروش'!A:Q,17,0),0)</f>
        <v>0</v>
      </c>
      <c r="R40" s="43"/>
      <c r="S40" s="43">
        <f t="shared" si="2"/>
        <v>599930895</v>
      </c>
      <c r="T40" s="43"/>
      <c r="U40" s="105">
        <f>S40/درآمد!$F$12*100</f>
        <v>0.22910961056604159</v>
      </c>
    </row>
    <row r="41" spans="1:21" ht="18.75">
      <c r="A41" s="12" t="s">
        <v>23</v>
      </c>
      <c r="C41" s="43">
        <f>IFERROR(VLOOKUP(A41,'درآمد سود سهام'!A:S,9,0),0)</f>
        <v>0</v>
      </c>
      <c r="D41" s="43"/>
      <c r="E41" s="43">
        <f>IFERROR(VLOOKUP(A41,'درآمد ناشی از تغییر قیمت اوراق'!A:Q,9,0),0)</f>
        <v>5488015347</v>
      </c>
      <c r="F41" s="43"/>
      <c r="G41" s="43">
        <f>IFERROR(VLOOKUP(A41,'درآمد ناشی از فروش'!A:Q,9,0),0)</f>
        <v>0</v>
      </c>
      <c r="H41" s="43"/>
      <c r="I41" s="43">
        <f t="shared" si="0"/>
        <v>5488015347</v>
      </c>
      <c r="J41" s="43"/>
      <c r="K41" s="105">
        <f t="shared" si="1"/>
        <v>-2.6742215574479684</v>
      </c>
      <c r="L41" s="43"/>
      <c r="M41" s="43">
        <f>IFERROR(VLOOKUP(A41,'درآمد سود سهام'!A:S,15,0),0)</f>
        <v>0</v>
      </c>
      <c r="N41" s="43"/>
      <c r="O41" s="43">
        <f>IFERROR(VLOOKUP(A41,'درآمد ناشی از تغییر قیمت اوراق'!A:Q,17,0),0)</f>
        <v>46211703810</v>
      </c>
      <c r="P41" s="43"/>
      <c r="Q41" s="43">
        <f>IFERROR(VLOOKUP(A41,'درآمد ناشی از فروش'!A:Q,17,0),0)</f>
        <v>0</v>
      </c>
      <c r="R41" s="43"/>
      <c r="S41" s="43">
        <f t="shared" si="2"/>
        <v>46211703810</v>
      </c>
      <c r="T41" s="43"/>
      <c r="U41" s="105">
        <f>S41/درآمد!$F$12*100</f>
        <v>17.647941707523433</v>
      </c>
    </row>
    <row r="42" spans="1:21" ht="18.75">
      <c r="A42" s="12" t="s">
        <v>175</v>
      </c>
      <c r="C42" s="43">
        <f>IFERROR(VLOOKUP(A42,'درآمد سود سهام'!A:S,9,0),0)</f>
        <v>0</v>
      </c>
      <c r="D42" s="43"/>
      <c r="E42" s="43">
        <f>IFERROR(VLOOKUP(A42,'درآمد ناشی از تغییر قیمت اوراق'!A:Q,9,0),0)</f>
        <v>-331612952</v>
      </c>
      <c r="F42" s="43"/>
      <c r="G42" s="43">
        <f>IFERROR(VLOOKUP(A42,'درآمد ناشی از فروش'!A:Q,9,0),0)</f>
        <v>134690948</v>
      </c>
      <c r="H42" s="43"/>
      <c r="I42" s="43">
        <f t="shared" si="0"/>
        <v>-196922004</v>
      </c>
      <c r="J42" s="43"/>
      <c r="K42" s="105">
        <f t="shared" si="1"/>
        <v>9.5956923393176324E-2</v>
      </c>
      <c r="L42" s="43"/>
      <c r="M42" s="43">
        <f>IFERROR(VLOOKUP(A42,'درآمد سود سهام'!A:S,15,0),0)</f>
        <v>0</v>
      </c>
      <c r="N42" s="43"/>
      <c r="O42" s="43">
        <f>IFERROR(VLOOKUP(A42,'درآمد ناشی از تغییر قیمت اوراق'!A:Q,17,0),0)</f>
        <v>0</v>
      </c>
      <c r="P42" s="43"/>
      <c r="Q42" s="43">
        <f>IFERROR(VLOOKUP(A42,'درآمد ناشی از فروش'!A:Q,17,0),0)</f>
        <v>134690948</v>
      </c>
      <c r="R42" s="43"/>
      <c r="S42" s="43">
        <f t="shared" si="2"/>
        <v>134690948</v>
      </c>
      <c r="T42" s="43"/>
      <c r="U42" s="105">
        <f>S42/درآمد!$F$12*100</f>
        <v>5.1437575394497663E-2</v>
      </c>
    </row>
    <row r="43" spans="1:21" ht="18.75">
      <c r="A43" s="12" t="s">
        <v>24</v>
      </c>
      <c r="C43" s="43">
        <f>IFERROR(VLOOKUP(A43,'درآمد سود سهام'!A:S,9,0),0)</f>
        <v>0</v>
      </c>
      <c r="D43" s="43"/>
      <c r="E43" s="43">
        <f>IFERROR(VLOOKUP(A43,'درآمد ناشی از تغییر قیمت اوراق'!A:Q,9,0),0)</f>
        <v>-599967274</v>
      </c>
      <c r="F43" s="43"/>
      <c r="G43" s="43">
        <f>IFERROR(VLOOKUP(A43,'درآمد ناشی از فروش'!A:Q,9,0),0)</f>
        <v>0</v>
      </c>
      <c r="H43" s="43"/>
      <c r="I43" s="43">
        <f t="shared" si="0"/>
        <v>-599967274</v>
      </c>
      <c r="J43" s="43"/>
      <c r="K43" s="105">
        <f t="shared" si="1"/>
        <v>0.29235439707200439</v>
      </c>
      <c r="L43" s="43"/>
      <c r="M43" s="43">
        <f>IFERROR(VLOOKUP(A43,'درآمد سود سهام'!A:S,15,0),0)</f>
        <v>0</v>
      </c>
      <c r="N43" s="43"/>
      <c r="O43" s="43">
        <f>IFERROR(VLOOKUP(A43,'درآمد ناشی از تغییر قیمت اوراق'!A:Q,17,0),0)</f>
        <v>466204078</v>
      </c>
      <c r="P43" s="43"/>
      <c r="Q43" s="43">
        <f>IFERROR(VLOOKUP(A43,'درآمد ناشی از فروش'!A:Q,17,0),0)</f>
        <v>0</v>
      </c>
      <c r="R43" s="43"/>
      <c r="S43" s="43">
        <f t="shared" si="2"/>
        <v>466204078</v>
      </c>
      <c r="T43" s="43"/>
      <c r="U43" s="105">
        <f>S43/درآمد!$F$12*100</f>
        <v>0.17804023037500091</v>
      </c>
    </row>
    <row r="44" spans="1:21" ht="18.75">
      <c r="A44" s="12" t="s">
        <v>181</v>
      </c>
      <c r="C44" s="43">
        <f>IFERROR(VLOOKUP(A44,'درآمد سود سهام'!A:S,9,0),0)</f>
        <v>0</v>
      </c>
      <c r="D44" s="43"/>
      <c r="E44" s="43">
        <f>IFERROR(VLOOKUP(A44,'درآمد ناشی از تغییر قیمت اوراق'!A:Q,9,0),0)</f>
        <v>559336080</v>
      </c>
      <c r="F44" s="43"/>
      <c r="G44" s="43">
        <f>IFERROR(VLOOKUP(A44,'درآمد ناشی از فروش'!A:Q,9,0),0)</f>
        <v>0</v>
      </c>
      <c r="H44" s="43"/>
      <c r="I44" s="43">
        <f t="shared" si="0"/>
        <v>559336080</v>
      </c>
      <c r="J44" s="43"/>
      <c r="K44" s="105">
        <f t="shared" si="1"/>
        <v>-0.27255547013222325</v>
      </c>
      <c r="L44" s="43"/>
      <c r="M44" s="43">
        <f>IFERROR(VLOOKUP(A44,'درآمد سود سهام'!A:S,15,0),0)</f>
        <v>0</v>
      </c>
      <c r="N44" s="43"/>
      <c r="O44" s="43">
        <f>IFERROR(VLOOKUP(A44,'درآمد ناشی از تغییر قیمت اوراق'!A:Q,17,0),0)</f>
        <v>559336080</v>
      </c>
      <c r="P44" s="43"/>
      <c r="Q44" s="43">
        <f>IFERROR(VLOOKUP(A44,'درآمد ناشی از فروش'!A:Q,17,0),0)</f>
        <v>0</v>
      </c>
      <c r="R44" s="43"/>
      <c r="S44" s="43">
        <f t="shared" si="2"/>
        <v>559336080</v>
      </c>
      <c r="T44" s="43"/>
      <c r="U44" s="105">
        <f>S44/درآمد!$F$12*100</f>
        <v>0.21360672126134844</v>
      </c>
    </row>
    <row r="45" spans="1:21" ht="18.75">
      <c r="A45" s="12" t="s">
        <v>176</v>
      </c>
      <c r="C45" s="43">
        <f>IFERROR(VLOOKUP(A45,'درآمد سود سهام'!A:S,9,0),0)</f>
        <v>0</v>
      </c>
      <c r="D45" s="43"/>
      <c r="E45" s="43">
        <f>IFERROR(VLOOKUP(A45,'درآمد ناشی از تغییر قیمت اوراق'!A:Q,9,0),0)</f>
        <v>-3437223280</v>
      </c>
      <c r="F45" s="43"/>
      <c r="G45" s="43">
        <f>IFERROR(VLOOKUP(A45,'درآمد ناشی از فروش'!A:Q,9,0),0)</f>
        <v>0</v>
      </c>
      <c r="H45" s="43"/>
      <c r="I45" s="43">
        <f t="shared" si="0"/>
        <v>-3437223280</v>
      </c>
      <c r="J45" s="43"/>
      <c r="K45" s="105">
        <f t="shared" si="1"/>
        <v>1.6749035875351048</v>
      </c>
      <c r="L45" s="43"/>
      <c r="M45" s="43">
        <f>IFERROR(VLOOKUP(A45,'درآمد سود سهام'!A:S,15,0),0)</f>
        <v>0</v>
      </c>
      <c r="N45" s="43"/>
      <c r="O45" s="43">
        <f>IFERROR(VLOOKUP(A45,'درآمد ناشی از تغییر قیمت اوراق'!A:Q,17,0),0)</f>
        <v>-4892197536</v>
      </c>
      <c r="P45" s="43"/>
      <c r="Q45" s="43">
        <f>IFERROR(VLOOKUP(A45,'درآمد ناشی از فروش'!A:Q,17,0),0)</f>
        <v>0</v>
      </c>
      <c r="R45" s="43"/>
      <c r="S45" s="43">
        <f t="shared" si="2"/>
        <v>-4892197536</v>
      </c>
      <c r="T45" s="43"/>
      <c r="U45" s="105">
        <f>S45/درآمد!$F$12*100</f>
        <v>-1.8682976349886238</v>
      </c>
    </row>
    <row r="46" spans="1:21" ht="18.75">
      <c r="A46" s="12" t="s">
        <v>177</v>
      </c>
      <c r="C46" s="43">
        <f>IFERROR(VLOOKUP(A46,'درآمد سود سهام'!A:S,9,0),0)</f>
        <v>0</v>
      </c>
      <c r="D46" s="43"/>
      <c r="E46" s="43">
        <f>IFERROR(VLOOKUP(A46,'درآمد ناشی از تغییر قیمت اوراق'!A:Q,9,0),0)</f>
        <v>-207005969</v>
      </c>
      <c r="F46" s="43"/>
      <c r="G46" s="43">
        <f>IFERROR(VLOOKUP(A46,'درآمد ناشی از فروش'!A:Q,9,0),0)</f>
        <v>228851159</v>
      </c>
      <c r="H46" s="43"/>
      <c r="I46" s="43">
        <f t="shared" si="0"/>
        <v>21845190</v>
      </c>
      <c r="J46" s="43"/>
      <c r="K46" s="105">
        <f t="shared" si="1"/>
        <v>-1.0644809522349679E-2</v>
      </c>
      <c r="L46" s="43"/>
      <c r="M46" s="43">
        <f>IFERROR(VLOOKUP(A46,'درآمد سود سهام'!A:S,15,0),0)</f>
        <v>0</v>
      </c>
      <c r="N46" s="43"/>
      <c r="O46" s="43">
        <f>IFERROR(VLOOKUP(A46,'درآمد ناشی از تغییر قیمت اوراق'!A:Q,17,0),0)</f>
        <v>0</v>
      </c>
      <c r="P46" s="43"/>
      <c r="Q46" s="43">
        <f>IFERROR(VLOOKUP(A46,'درآمد ناشی از فروش'!A:Q,17,0),0)</f>
        <v>228851159</v>
      </c>
      <c r="R46" s="43"/>
      <c r="S46" s="43">
        <f t="shared" si="2"/>
        <v>228851159</v>
      </c>
      <c r="T46" s="43"/>
      <c r="U46" s="105">
        <f>S46/درآمد!$F$12*100</f>
        <v>8.7396732445454858E-2</v>
      </c>
    </row>
    <row r="47" spans="1:21" ht="18.75">
      <c r="A47" s="12" t="s">
        <v>183</v>
      </c>
      <c r="C47" s="43">
        <f>IFERROR(VLOOKUP(A47,'درآمد سود سهام'!A:S,9,0),0)</f>
        <v>0</v>
      </c>
      <c r="D47" s="43"/>
      <c r="E47" s="43">
        <f>IFERROR(VLOOKUP(A47,'درآمد ناشی از تغییر قیمت اوراق'!A:Q,9,0),0)</f>
        <v>726623502</v>
      </c>
      <c r="F47" s="43"/>
      <c r="G47" s="43">
        <f>IFERROR(VLOOKUP(A47,'درآمد ناشی از فروش'!A:Q,9,0),0)</f>
        <v>0</v>
      </c>
      <c r="H47" s="43"/>
      <c r="I47" s="43">
        <f t="shared" si="0"/>
        <v>726623502</v>
      </c>
      <c r="J47" s="43"/>
      <c r="K47" s="105">
        <f t="shared" si="1"/>
        <v>-0.35407193863970382</v>
      </c>
      <c r="L47" s="43"/>
      <c r="M47" s="43">
        <f>IFERROR(VLOOKUP(A47,'درآمد سود سهام'!A:S,15,0),0)</f>
        <v>0</v>
      </c>
      <c r="N47" s="43"/>
      <c r="O47" s="43">
        <f>IFERROR(VLOOKUP(A47,'درآمد ناشی از تغییر قیمت اوراق'!A:Q,17,0),0)</f>
        <v>726623502</v>
      </c>
      <c r="P47" s="43"/>
      <c r="Q47" s="43">
        <f>IFERROR(VLOOKUP(A47,'درآمد ناشی از فروش'!A:Q,17,0),0)</f>
        <v>0</v>
      </c>
      <c r="R47" s="43"/>
      <c r="S47" s="43">
        <f t="shared" si="2"/>
        <v>726623502</v>
      </c>
      <c r="T47" s="43"/>
      <c r="U47" s="105">
        <f>S47/درآمد!$F$12*100</f>
        <v>0.27749267283751633</v>
      </c>
    </row>
    <row r="48" spans="1:21" ht="18.75">
      <c r="A48" s="12" t="s">
        <v>182</v>
      </c>
      <c r="C48" s="43">
        <f>IFERROR(VLOOKUP(A48,'درآمد سود سهام'!A:S,9,0),0)</f>
        <v>0</v>
      </c>
      <c r="D48" s="43"/>
      <c r="E48" s="43">
        <f>IFERROR(VLOOKUP(A48,'درآمد ناشی از تغییر قیمت اوراق'!A:Q,9,0),0)</f>
        <v>141283746</v>
      </c>
      <c r="F48" s="43"/>
      <c r="G48" s="43">
        <f>IFERROR(VLOOKUP(A48,'درآمد ناشی از فروش'!A:Q,9,0),0)</f>
        <v>0</v>
      </c>
      <c r="H48" s="43"/>
      <c r="I48" s="43">
        <f t="shared" si="0"/>
        <v>141283746</v>
      </c>
      <c r="J48" s="43"/>
      <c r="K48" s="105">
        <f t="shared" si="1"/>
        <v>-6.8845295681751156E-2</v>
      </c>
      <c r="L48" s="43"/>
      <c r="M48" s="43">
        <f>IFERROR(VLOOKUP(A48,'درآمد سود سهام'!A:S,15,0),0)</f>
        <v>0</v>
      </c>
      <c r="N48" s="43"/>
      <c r="O48" s="43">
        <f>IFERROR(VLOOKUP(A48,'درآمد ناشی از تغییر قیمت اوراق'!A:Q,17,0),0)</f>
        <v>141283746</v>
      </c>
      <c r="P48" s="43"/>
      <c r="Q48" s="43">
        <f>IFERROR(VLOOKUP(A48,'درآمد ناشی از فروش'!A:Q,17,0),0)</f>
        <v>0</v>
      </c>
      <c r="R48" s="43"/>
      <c r="S48" s="43">
        <f t="shared" si="2"/>
        <v>141283746</v>
      </c>
      <c r="T48" s="43"/>
      <c r="U48" s="105">
        <f>S48/درآمد!$F$12*100</f>
        <v>5.3955321013050242E-2</v>
      </c>
    </row>
    <row r="49" spans="1:21" ht="18.75">
      <c r="A49" s="12" t="s">
        <v>184</v>
      </c>
      <c r="C49" s="43">
        <f>IFERROR(VLOOKUP(A49,'درآمد سود سهام'!A:S,9,0),0)</f>
        <v>0</v>
      </c>
      <c r="D49" s="43"/>
      <c r="E49" s="43">
        <f>IFERROR(VLOOKUP(A49,'درآمد ناشی از تغییر قیمت اوراق'!A:Q,9,0),0)</f>
        <v>815425864</v>
      </c>
      <c r="F49" s="43"/>
      <c r="G49" s="43">
        <f>IFERROR(VLOOKUP(A49,'درآمد ناشی از فروش'!A:Q,9,0),0)</f>
        <v>0</v>
      </c>
      <c r="H49" s="43"/>
      <c r="I49" s="43">
        <f t="shared" si="0"/>
        <v>815425864</v>
      </c>
      <c r="J49" s="43"/>
      <c r="K49" s="105">
        <f t="shared" si="1"/>
        <v>-0.39734390050521023</v>
      </c>
      <c r="L49" s="43"/>
      <c r="M49" s="43">
        <f>IFERROR(VLOOKUP(A49,'درآمد سود سهام'!A:S,15,0),0)</f>
        <v>0</v>
      </c>
      <c r="N49" s="43"/>
      <c r="O49" s="43">
        <f>IFERROR(VLOOKUP(A49,'درآمد ناشی از تغییر قیمت اوراق'!A:Q,17,0),0)</f>
        <v>815425864</v>
      </c>
      <c r="P49" s="43"/>
      <c r="Q49" s="43">
        <f>IFERROR(VLOOKUP(A49,'درآمد ناشی از فروش'!A:Q,17,0),0)</f>
        <v>0</v>
      </c>
      <c r="R49" s="43"/>
      <c r="S49" s="43">
        <f t="shared" si="2"/>
        <v>815425864</v>
      </c>
      <c r="T49" s="43"/>
      <c r="U49" s="105">
        <f>S49/درآمد!$F$12*100</f>
        <v>0.31140570306271365</v>
      </c>
    </row>
    <row r="50" spans="1:21" ht="18.75">
      <c r="A50" s="12" t="s">
        <v>25</v>
      </c>
      <c r="C50" s="43">
        <f>IFERROR(VLOOKUP(A50,'درآمد سود سهام'!A:S,9,0),0)</f>
        <v>0</v>
      </c>
      <c r="D50" s="43"/>
      <c r="E50" s="43">
        <f>IFERROR(VLOOKUP(A50,'درآمد ناشی از تغییر قیمت اوراق'!A:Q,9,0),0)</f>
        <v>-69553986141</v>
      </c>
      <c r="F50" s="43"/>
      <c r="G50" s="43">
        <f>IFERROR(VLOOKUP(A50,'درآمد ناشی از فروش'!A:Q,9,0),0)</f>
        <v>2401165003</v>
      </c>
      <c r="H50" s="43"/>
      <c r="I50" s="43">
        <f t="shared" si="0"/>
        <v>-67152821138</v>
      </c>
      <c r="J50" s="43"/>
      <c r="K50" s="105">
        <f t="shared" si="1"/>
        <v>32.722489019432984</v>
      </c>
      <c r="L50" s="43"/>
      <c r="M50" s="43">
        <f>IFERROR(VLOOKUP(A50,'درآمد سود سهام'!A:S,15,0),0)</f>
        <v>0</v>
      </c>
      <c r="N50" s="43"/>
      <c r="O50" s="43">
        <f>IFERROR(VLOOKUP(A50,'درآمد ناشی از تغییر قیمت اوراق'!A:Q,17,0),0)</f>
        <v>-3125458867</v>
      </c>
      <c r="P50" s="43"/>
      <c r="Q50" s="43">
        <f>IFERROR(VLOOKUP(A50,'درآمد ناشی از فروش'!A:Q,17,0),0)</f>
        <v>33364840753</v>
      </c>
      <c r="R50" s="43"/>
      <c r="S50" s="43">
        <f t="shared" si="2"/>
        <v>30239381886</v>
      </c>
      <c r="T50" s="43"/>
      <c r="U50" s="105">
        <f>S50/درآمد!$F$12*100</f>
        <v>11.548218412154409</v>
      </c>
    </row>
    <row r="51" spans="1:21" ht="18.75">
      <c r="A51" s="12" t="s">
        <v>26</v>
      </c>
      <c r="C51" s="43">
        <f>IFERROR(VLOOKUP(A51,'درآمد سود سهام'!A:S,9,0),0)</f>
        <v>15689949600</v>
      </c>
      <c r="D51" s="43"/>
      <c r="E51" s="43">
        <f>IFERROR(VLOOKUP(A51,'درآمد ناشی از تغییر قیمت اوراق'!A:Q,9,0),0)</f>
        <v>-6729117891</v>
      </c>
      <c r="F51" s="43"/>
      <c r="G51" s="43">
        <f>IFERROR(VLOOKUP(A51,'درآمد ناشی از فروش'!A:Q,9,0),0)</f>
        <v>0</v>
      </c>
      <c r="H51" s="43"/>
      <c r="I51" s="43">
        <f t="shared" si="0"/>
        <v>8960831709</v>
      </c>
      <c r="J51" s="43"/>
      <c r="K51" s="105">
        <f t="shared" si="1"/>
        <v>-4.3664690810258984</v>
      </c>
      <c r="L51" s="43"/>
      <c r="M51" s="43">
        <f>IFERROR(VLOOKUP(A51,'درآمد سود سهام'!A:S,15,0),0)</f>
        <v>15689949600</v>
      </c>
      <c r="N51" s="43"/>
      <c r="O51" s="43">
        <f>IFERROR(VLOOKUP(A51,'درآمد ناشی از تغییر قیمت اوراق'!A:Q,17,0),0)</f>
        <v>30794369697</v>
      </c>
      <c r="P51" s="43"/>
      <c r="Q51" s="43">
        <f>IFERROR(VLOOKUP(A51,'درآمد ناشی از فروش'!A:Q,17,0),0)</f>
        <v>0</v>
      </c>
      <c r="R51" s="43"/>
      <c r="S51" s="43">
        <f t="shared" si="2"/>
        <v>46484319297</v>
      </c>
      <c r="T51" s="43"/>
      <c r="U51" s="105">
        <f>S51/درآمد!$F$12*100</f>
        <v>17.752051745165087</v>
      </c>
    </row>
    <row r="52" spans="1:21" ht="18.75">
      <c r="A52" s="12" t="s">
        <v>149</v>
      </c>
      <c r="C52" s="43">
        <f>IFERROR(VLOOKUP(A52,'درآمد سود سهام'!A:S,9,0),0)</f>
        <v>0</v>
      </c>
      <c r="D52" s="43"/>
      <c r="E52" s="43">
        <f>IFERROR(VLOOKUP(A52,'درآمد ناشی از تغییر قیمت اوراق'!A:Q,9,0),0)</f>
        <v>0</v>
      </c>
      <c r="F52" s="43"/>
      <c r="G52" s="43">
        <f>IFERROR(VLOOKUP(A52,'درآمد ناشی از فروش'!A:Q,9,0),0)</f>
        <v>0</v>
      </c>
      <c r="H52" s="43"/>
      <c r="I52" s="43">
        <f t="shared" si="0"/>
        <v>0</v>
      </c>
      <c r="J52" s="43"/>
      <c r="K52" s="105">
        <f t="shared" si="1"/>
        <v>0</v>
      </c>
      <c r="L52" s="43"/>
      <c r="M52" s="43">
        <f>IFERROR(VLOOKUP(A52,'درآمد سود سهام'!A:S,15,0),0)</f>
        <v>0</v>
      </c>
      <c r="N52" s="43"/>
      <c r="O52" s="43">
        <f>IFERROR(VLOOKUP(A52,'درآمد ناشی از تغییر قیمت اوراق'!A:Q,17,0),0)</f>
        <v>0</v>
      </c>
      <c r="P52" s="43"/>
      <c r="Q52" s="43">
        <f>IFERROR(VLOOKUP(A52,'درآمد ناشی از فروش'!A:Q,17,0),0)</f>
        <v>2278575975</v>
      </c>
      <c r="R52" s="43"/>
      <c r="S52" s="43">
        <f t="shared" si="2"/>
        <v>2278575975</v>
      </c>
      <c r="T52" s="43"/>
      <c r="U52" s="105">
        <f>S52/درآمد!$F$12*100</f>
        <v>0.87017297930187198</v>
      </c>
    </row>
    <row r="53" spans="1:21" ht="18.75">
      <c r="A53" s="12" t="s">
        <v>34</v>
      </c>
      <c r="C53" s="43">
        <f>IFERROR(VLOOKUP(A53,'درآمد سود سهام'!A:S,9,0),0)</f>
        <v>2757022940</v>
      </c>
      <c r="D53" s="43"/>
      <c r="E53" s="43">
        <f>IFERROR(VLOOKUP(A53,'درآمد ناشی از تغییر قیمت اوراق'!A:Q,9,0),0)</f>
        <v>-2412320377</v>
      </c>
      <c r="F53" s="43"/>
      <c r="G53" s="43">
        <f>IFERROR(VLOOKUP(A53,'درآمد ناشی از فروش'!A:Q,9,0),0)</f>
        <v>0</v>
      </c>
      <c r="H53" s="43"/>
      <c r="I53" s="43">
        <f t="shared" si="0"/>
        <v>344702563</v>
      </c>
      <c r="J53" s="43"/>
      <c r="K53" s="105">
        <f t="shared" si="1"/>
        <v>-0.16796801149363957</v>
      </c>
      <c r="L53" s="43"/>
      <c r="M53" s="43">
        <f>IFERROR(VLOOKUP(A53,'درآمد سود سهام'!A:S,15,0),0)</f>
        <v>2757022940</v>
      </c>
      <c r="N53" s="43"/>
      <c r="O53" s="43">
        <f>IFERROR(VLOOKUP(A53,'درآمد ناشی از تغییر قیمت اوراق'!A:Q,17,0),0)</f>
        <v>139844660</v>
      </c>
      <c r="P53" s="43"/>
      <c r="Q53" s="43">
        <f>IFERROR(VLOOKUP(A53,'درآمد ناشی از فروش'!A:Q,17,0),0)</f>
        <v>0</v>
      </c>
      <c r="R53" s="43"/>
      <c r="S53" s="43">
        <f t="shared" si="2"/>
        <v>2896867600</v>
      </c>
      <c r="T53" s="43"/>
      <c r="U53" s="105">
        <f>S53/درآمد!$F$12*100</f>
        <v>1.1062944302899813</v>
      </c>
    </row>
    <row r="54" spans="1:21" ht="18.75">
      <c r="A54" s="12" t="s">
        <v>35</v>
      </c>
      <c r="C54" s="43">
        <f>IFERROR(VLOOKUP(A54,'درآمد سود سهام'!A:S,9,0),0)</f>
        <v>10159830290</v>
      </c>
      <c r="D54" s="43"/>
      <c r="E54" s="43">
        <f>IFERROR(VLOOKUP(A54,'درآمد ناشی از تغییر قیمت اوراق'!A:Q,9,0),0)</f>
        <v>-17435910053</v>
      </c>
      <c r="F54" s="43"/>
      <c r="G54" s="43">
        <f>IFERROR(VLOOKUP(A54,'درآمد ناشی از فروش'!A:Q,9,0),0)</f>
        <v>0</v>
      </c>
      <c r="H54" s="43"/>
      <c r="I54" s="43">
        <f t="shared" si="0"/>
        <v>-7276079763</v>
      </c>
      <c r="J54" s="43"/>
      <c r="K54" s="105">
        <f t="shared" si="1"/>
        <v>3.545516571224979</v>
      </c>
      <c r="L54" s="43"/>
      <c r="M54" s="43">
        <f>IFERROR(VLOOKUP(A54,'درآمد سود سهام'!A:S,15,0),0)</f>
        <v>10159830290</v>
      </c>
      <c r="N54" s="43"/>
      <c r="O54" s="43">
        <f>IFERROR(VLOOKUP(A54,'درآمد ناشی از تغییر قیمت اوراق'!A:Q,17,0),0)</f>
        <v>20366063852</v>
      </c>
      <c r="P54" s="43"/>
      <c r="Q54" s="43">
        <f>IFERROR(VLOOKUP(A54,'درآمد ناشی از فروش'!A:Q,17,0),0)</f>
        <v>0</v>
      </c>
      <c r="R54" s="43"/>
      <c r="S54" s="43">
        <f t="shared" si="2"/>
        <v>30525894142</v>
      </c>
      <c r="T54" s="43"/>
      <c r="U54" s="105">
        <f>S54/درآمد!$F$12*100</f>
        <v>11.657635533262262</v>
      </c>
    </row>
    <row r="55" spans="1:21" ht="18.75">
      <c r="A55" s="12" t="s">
        <v>180</v>
      </c>
      <c r="C55" s="43">
        <f>IFERROR(VLOOKUP(A55,'درآمد سود سهام'!A:S,9,0),0)</f>
        <v>257763000</v>
      </c>
      <c r="D55" s="43"/>
      <c r="E55" s="43">
        <f>IFERROR(VLOOKUP(A55,'درآمد ناشی از تغییر قیمت اوراق'!A:Q,9,0),0)</f>
        <v>-415056619</v>
      </c>
      <c r="F55" s="43"/>
      <c r="G55" s="43">
        <f>IFERROR(VLOOKUP(A55,'درآمد ناشی از فروش'!A:Q,9,0),0)</f>
        <v>0</v>
      </c>
      <c r="H55" s="43"/>
      <c r="I55" s="43">
        <f t="shared" si="0"/>
        <v>-157293619</v>
      </c>
      <c r="J55" s="43"/>
      <c r="K55" s="105">
        <f t="shared" si="1"/>
        <v>7.6646649140430567E-2</v>
      </c>
      <c r="L55" s="43"/>
      <c r="M55" s="43">
        <f>IFERROR(VLOOKUP(A55,'درآمد سود سهام'!A:S,15,0),0)</f>
        <v>257763000</v>
      </c>
      <c r="N55" s="43"/>
      <c r="O55" s="43">
        <f>IFERROR(VLOOKUP(A55,'درآمد ناشی از تغییر قیمت اوراق'!A:Q,17,0),0)</f>
        <v>612114939</v>
      </c>
      <c r="P55" s="43"/>
      <c r="Q55" s="43">
        <f>IFERROR(VLOOKUP(A55,'درآمد ناشی از فروش'!A:Q,17,0),0)</f>
        <v>1536334080</v>
      </c>
      <c r="R55" s="43"/>
      <c r="S55" s="43">
        <f t="shared" si="2"/>
        <v>2406212019</v>
      </c>
      <c r="T55" s="43"/>
      <c r="U55" s="105">
        <f>S55/درآمد!$F$12*100</f>
        <v>0.91891633387611882</v>
      </c>
    </row>
    <row r="56" spans="1:21" ht="18.75">
      <c r="A56" s="12" t="s">
        <v>27</v>
      </c>
      <c r="C56" s="43">
        <f>IFERROR(VLOOKUP(A56,'درآمد سود سهام'!A:S,9,0),0)</f>
        <v>9349750355</v>
      </c>
      <c r="D56" s="43"/>
      <c r="E56" s="43">
        <f>IFERROR(VLOOKUP(A56,'درآمد ناشی از تغییر قیمت اوراق'!A:Q,9,0),0)</f>
        <v>-2383541466</v>
      </c>
      <c r="F56" s="43"/>
      <c r="G56" s="43">
        <f>IFERROR(VLOOKUP(A56,'درآمد ناشی از فروش'!A:Q,9,0),0)</f>
        <v>0</v>
      </c>
      <c r="H56" s="43"/>
      <c r="I56" s="43">
        <f t="shared" si="0"/>
        <v>6966208889</v>
      </c>
      <c r="J56" s="43"/>
      <c r="K56" s="105">
        <f t="shared" si="1"/>
        <v>-3.3945214812187112</v>
      </c>
      <c r="L56" s="43"/>
      <c r="M56" s="43">
        <f>IFERROR(VLOOKUP(A56,'درآمد سود سهام'!A:S,15,0),0)</f>
        <v>9349750355</v>
      </c>
      <c r="N56" s="43"/>
      <c r="O56" s="43">
        <f>IFERROR(VLOOKUP(A56,'درآمد ناشی از تغییر قیمت اوراق'!A:Q,17,0),0)</f>
        <v>11110970221</v>
      </c>
      <c r="P56" s="43"/>
      <c r="Q56" s="43">
        <f>IFERROR(VLOOKUP(A56,'درآمد ناشی از فروش'!A:Q,17,0),0)</f>
        <v>0</v>
      </c>
      <c r="R56" s="43"/>
      <c r="S56" s="43">
        <f t="shared" si="2"/>
        <v>20460720576</v>
      </c>
      <c r="T56" s="43"/>
      <c r="U56" s="105">
        <f>S56/درآمد!$F$12*100</f>
        <v>7.8138128276723524</v>
      </c>
    </row>
    <row r="57" spans="1:21" ht="18.75">
      <c r="A57" s="12" t="s">
        <v>28</v>
      </c>
      <c r="C57" s="43">
        <f>IFERROR(VLOOKUP(A57,'درآمد سود سهام'!A:S,9,0),0)</f>
        <v>0</v>
      </c>
      <c r="D57" s="43"/>
      <c r="E57" s="43">
        <f>IFERROR(VLOOKUP(A57,'درآمد ناشی از تغییر قیمت اوراق'!A:Q,9,0),0)</f>
        <v>-58827120263</v>
      </c>
      <c r="F57" s="43"/>
      <c r="G57" s="43">
        <f>IFERROR(VLOOKUP(A57,'درآمد ناشی از فروش'!A:Q,9,0),0)</f>
        <v>0</v>
      </c>
      <c r="H57" s="43"/>
      <c r="I57" s="43">
        <f t="shared" si="0"/>
        <v>-58827120263</v>
      </c>
      <c r="J57" s="43"/>
      <c r="K57" s="105">
        <f t="shared" si="1"/>
        <v>28.665508972363806</v>
      </c>
      <c r="L57" s="43"/>
      <c r="M57" s="43">
        <f>IFERROR(VLOOKUP(A57,'درآمد سود سهام'!A:S,15,0),0)</f>
        <v>0</v>
      </c>
      <c r="N57" s="43"/>
      <c r="O57" s="43">
        <f>IFERROR(VLOOKUP(A57,'درآمد ناشی از تغییر قیمت اوراق'!A:Q,17,0),0)</f>
        <v>-38557244119</v>
      </c>
      <c r="P57" s="43"/>
      <c r="Q57" s="43">
        <f>IFERROR(VLOOKUP(A57,'درآمد ناشی از فروش'!A:Q,17,0),0)</f>
        <v>2359029834</v>
      </c>
      <c r="R57" s="43"/>
      <c r="S57" s="43">
        <f t="shared" si="2"/>
        <v>-36198214285</v>
      </c>
      <c r="T57" s="43"/>
      <c r="U57" s="105">
        <f>S57/درآمد!$F$12*100</f>
        <v>-13.823856792743561</v>
      </c>
    </row>
    <row r="58" spans="1:21" ht="18.75">
      <c r="A58" s="12" t="s">
        <v>29</v>
      </c>
      <c r="C58" s="43">
        <f>IFERROR(VLOOKUP(A58,'درآمد سود سهام'!A:S,9,0),0)</f>
        <v>0</v>
      </c>
      <c r="D58" s="43"/>
      <c r="E58" s="43">
        <f>IFERROR(VLOOKUP(A58,'درآمد ناشی از تغییر قیمت اوراق'!A:Q,9,0),0)</f>
        <v>4469307620</v>
      </c>
      <c r="F58" s="43"/>
      <c r="G58" s="43">
        <f>IFERROR(VLOOKUP(A58,'درآمد ناشی از فروش'!A:Q,9,0),0)</f>
        <v>0</v>
      </c>
      <c r="H58" s="43"/>
      <c r="I58" s="43">
        <f t="shared" si="0"/>
        <v>4469307620</v>
      </c>
      <c r="J58" s="43"/>
      <c r="K58" s="105">
        <f t="shared" si="1"/>
        <v>-2.1778216766110061</v>
      </c>
      <c r="L58" s="43"/>
      <c r="M58" s="43">
        <f>IFERROR(VLOOKUP(A58,'درآمد سود سهام'!A:S,15,0),0)</f>
        <v>0</v>
      </c>
      <c r="N58" s="43"/>
      <c r="O58" s="43">
        <f>IFERROR(VLOOKUP(A58,'درآمد ناشی از تغییر قیمت اوراق'!A:Q,17,0),0)</f>
        <v>13356551507</v>
      </c>
      <c r="P58" s="43"/>
      <c r="Q58" s="43">
        <f>IFERROR(VLOOKUP(A58,'درآمد ناشی از فروش'!A:Q,17,0),0)</f>
        <v>0</v>
      </c>
      <c r="R58" s="43"/>
      <c r="S58" s="43">
        <f t="shared" si="2"/>
        <v>13356551507</v>
      </c>
      <c r="T58" s="43"/>
      <c r="U58" s="105">
        <f>S58/درآمد!$F$12*100</f>
        <v>5.1007780058969061</v>
      </c>
    </row>
    <row r="59" spans="1:21" ht="18.75">
      <c r="A59" s="12" t="s">
        <v>178</v>
      </c>
      <c r="C59" s="43">
        <f>IFERROR(VLOOKUP(A59,'درآمد سود سهام'!A:S,9,0),0)</f>
        <v>0</v>
      </c>
      <c r="D59" s="43"/>
      <c r="E59" s="43">
        <f>IFERROR(VLOOKUP(A59,'درآمد ناشی از تغییر قیمت اوراق'!A:Q,9,0),0)</f>
        <v>-1759222205</v>
      </c>
      <c r="F59" s="43"/>
      <c r="G59" s="43">
        <f>IFERROR(VLOOKUP(A59,'درآمد ناشی از فروش'!A:Q,9,0),0)</f>
        <v>3621045645</v>
      </c>
      <c r="H59" s="43"/>
      <c r="I59" s="43">
        <f t="shared" si="0"/>
        <v>1861823440</v>
      </c>
      <c r="J59" s="43"/>
      <c r="K59" s="105">
        <f t="shared" si="1"/>
        <v>-0.90723659913444721</v>
      </c>
      <c r="L59" s="43"/>
      <c r="M59" s="43">
        <f>IFERROR(VLOOKUP(A59,'درآمد سود سهام'!A:S,15,0),0)</f>
        <v>0</v>
      </c>
      <c r="N59" s="43"/>
      <c r="O59" s="43">
        <f>IFERROR(VLOOKUP(A59,'درآمد ناشی از تغییر قیمت اوراق'!A:Q,17,0),0)</f>
        <v>0</v>
      </c>
      <c r="P59" s="43"/>
      <c r="Q59" s="43">
        <f>IFERROR(VLOOKUP(A59,'درآمد ناشی از فروش'!A:Q,17,0),0)</f>
        <v>3621045645</v>
      </c>
      <c r="R59" s="43"/>
      <c r="S59" s="43">
        <f t="shared" si="2"/>
        <v>3621045645</v>
      </c>
      <c r="T59" s="43"/>
      <c r="U59" s="105">
        <f>S59/درآمد!$F$12*100</f>
        <v>1.3828531993969253</v>
      </c>
    </row>
    <row r="60" spans="1:21" ht="18.75">
      <c r="A60" s="12" t="s">
        <v>30</v>
      </c>
      <c r="C60" s="43">
        <f>IFERROR(VLOOKUP(A60,'درآمد سود سهام'!A:S,9,0),0)</f>
        <v>0</v>
      </c>
      <c r="D60" s="43"/>
      <c r="E60" s="43">
        <f>IFERROR(VLOOKUP(A60,'درآمد ناشی از تغییر قیمت اوراق'!A:Q,9,0),0)</f>
        <v>2569242172</v>
      </c>
      <c r="F60" s="43"/>
      <c r="G60" s="43">
        <f>IFERROR(VLOOKUP(A60,'درآمد ناشی از فروش'!A:Q,9,0),0)</f>
        <v>0</v>
      </c>
      <c r="H60" s="43"/>
      <c r="I60" s="43">
        <f t="shared" si="0"/>
        <v>2569242172</v>
      </c>
      <c r="J60" s="43"/>
      <c r="K60" s="105">
        <f t="shared" si="1"/>
        <v>-1.2519503624243127</v>
      </c>
      <c r="L60" s="43"/>
      <c r="M60" s="43">
        <f>IFERROR(VLOOKUP(A60,'درآمد سود سهام'!A:S,15,0),0)</f>
        <v>255389550</v>
      </c>
      <c r="N60" s="43"/>
      <c r="O60" s="43">
        <f>IFERROR(VLOOKUP(A60,'درآمد ناشی از تغییر قیمت اوراق'!A:Q,17,0),0)</f>
        <v>4947448128</v>
      </c>
      <c r="P60" s="43"/>
      <c r="Q60" s="43">
        <f>IFERROR(VLOOKUP(A60,'درآمد ناشی از فروش'!A:Q,17,0),0)</f>
        <v>0</v>
      </c>
      <c r="R60" s="43"/>
      <c r="S60" s="43">
        <f t="shared" si="2"/>
        <v>5202837678</v>
      </c>
      <c r="T60" s="43"/>
      <c r="U60" s="105">
        <f>S60/درآمد!$F$12*100</f>
        <v>1.9869290349597817</v>
      </c>
    </row>
    <row r="61" spans="1:21" ht="18.75">
      <c r="A61" s="12" t="s">
        <v>31</v>
      </c>
      <c r="C61" s="43">
        <f>IFERROR(VLOOKUP(A61,'درآمد سود سهام'!A:S,9,0),0)</f>
        <v>0</v>
      </c>
      <c r="D61" s="43"/>
      <c r="E61" s="43">
        <f>IFERROR(VLOOKUP(A61,'درآمد ناشی از تغییر قیمت اوراق'!A:Q,9,0),0)</f>
        <v>2583871080</v>
      </c>
      <c r="F61" s="43"/>
      <c r="G61" s="43">
        <f>IFERROR(VLOOKUP(A61,'درآمد ناشی از فروش'!A:Q,9,0),0)</f>
        <v>0</v>
      </c>
      <c r="H61" s="43"/>
      <c r="I61" s="43">
        <f t="shared" si="0"/>
        <v>2583871080</v>
      </c>
      <c r="J61" s="43"/>
      <c r="K61" s="105">
        <f t="shared" si="1"/>
        <v>-1.2590787938629946</v>
      </c>
      <c r="L61" s="43"/>
      <c r="M61" s="43">
        <f>IFERROR(VLOOKUP(A61,'درآمد سود سهام'!A:S,15,0),0)</f>
        <v>2292000000</v>
      </c>
      <c r="N61" s="43"/>
      <c r="O61" s="43">
        <f>IFERROR(VLOOKUP(A61,'درآمد ناشی از تغییر قیمت اوراق'!A:Q,17,0),0)</f>
        <v>13800491160</v>
      </c>
      <c r="P61" s="43"/>
      <c r="Q61" s="43">
        <f>IFERROR(VLOOKUP(A61,'درآمد ناشی از فروش'!A:Q,17,0),0)</f>
        <v>0</v>
      </c>
      <c r="R61" s="43"/>
      <c r="S61" s="43">
        <f t="shared" si="2"/>
        <v>16092491160</v>
      </c>
      <c r="T61" s="43"/>
      <c r="U61" s="105">
        <f>S61/درآمد!$F$12*100</f>
        <v>6.1456151257305507</v>
      </c>
    </row>
    <row r="62" spans="1:21" ht="18.75">
      <c r="A62" s="12" t="s">
        <v>32</v>
      </c>
      <c r="C62" s="43">
        <f>IFERROR(VLOOKUP(A62,'درآمد سود سهام'!A:S,9,0),0)</f>
        <v>0</v>
      </c>
      <c r="D62" s="43"/>
      <c r="E62" s="43">
        <f>IFERROR(VLOOKUP(A62,'درآمد ناشی از تغییر قیمت اوراق'!A:Q,9,0),0)</f>
        <v>-278096715</v>
      </c>
      <c r="F62" s="43"/>
      <c r="G62" s="43">
        <f>IFERROR(VLOOKUP(A62,'درآمد ناشی از فروش'!A:Q,9,0),0)</f>
        <v>0</v>
      </c>
      <c r="H62" s="43"/>
      <c r="I62" s="43">
        <f t="shared" si="0"/>
        <v>-278096715</v>
      </c>
      <c r="J62" s="43"/>
      <c r="K62" s="105">
        <f t="shared" si="1"/>
        <v>0.13551205368166469</v>
      </c>
      <c r="L62" s="43"/>
      <c r="M62" s="43">
        <f>IFERROR(VLOOKUP(A62,'درآمد سود سهام'!A:S,15,0),0)</f>
        <v>0</v>
      </c>
      <c r="N62" s="43"/>
      <c r="O62" s="43">
        <f>IFERROR(VLOOKUP(A62,'درآمد ناشی از تغییر قیمت اوراق'!A:Q,17,0),0)</f>
        <v>4495896907</v>
      </c>
      <c r="P62" s="43"/>
      <c r="Q62" s="43">
        <f>IFERROR(VLOOKUP(A62,'درآمد ناشی از فروش'!A:Q,17,0),0)</f>
        <v>0</v>
      </c>
      <c r="R62" s="43"/>
      <c r="S62" s="43">
        <f t="shared" si="2"/>
        <v>4495896907</v>
      </c>
      <c r="T62" s="43"/>
      <c r="U62" s="105">
        <f>S62/درآمد!$F$12*100</f>
        <v>1.7169530659157686</v>
      </c>
    </row>
    <row r="63" spans="1:21" ht="18.75">
      <c r="A63" s="12" t="s">
        <v>211</v>
      </c>
      <c r="C63" s="43">
        <f>IFERROR(VLOOKUP(A63,'درآمد سود سهام'!A:S,9,0),0)</f>
        <v>0</v>
      </c>
      <c r="D63" s="43"/>
      <c r="E63" s="43">
        <f>IFERROR(VLOOKUP(A63,'درآمد ناشی از تغییر قیمت اوراق'!A:Q,9,0),0)</f>
        <v>-13336585090</v>
      </c>
      <c r="F63" s="43"/>
      <c r="G63" s="43">
        <f>IFERROR(VLOOKUP(A63,'درآمد ناشی از فروش'!A:Q,9,0),0)</f>
        <v>0</v>
      </c>
      <c r="H63" s="43"/>
      <c r="I63" s="43">
        <f t="shared" si="0"/>
        <v>-13336585090</v>
      </c>
      <c r="J63" s="43"/>
      <c r="K63" s="105">
        <f t="shared" si="1"/>
        <v>6.4987032825834321</v>
      </c>
      <c r="L63" s="43"/>
      <c r="M63" s="43">
        <f>IFERROR(VLOOKUP(A63,'درآمد سود سهام'!A:S,15,0),0)</f>
        <v>0</v>
      </c>
      <c r="N63" s="43"/>
      <c r="O63" s="43">
        <f>IFERROR(VLOOKUP(A63,'درآمد ناشی از تغییر قیمت اوراق'!A:Q,17,0),0)</f>
        <v>10266323508</v>
      </c>
      <c r="P63" s="43"/>
      <c r="Q63" s="43">
        <f>IFERROR(VLOOKUP(A63,'درآمد ناشی از فروش'!A:Q,17,0),0)</f>
        <v>0</v>
      </c>
      <c r="R63" s="43"/>
      <c r="S63" s="43">
        <f t="shared" si="2"/>
        <v>10266323508</v>
      </c>
      <c r="T63" s="43"/>
      <c r="U63" s="105">
        <f>S63/درآمد!$F$12*100</f>
        <v>3.9206405278775955</v>
      </c>
    </row>
    <row r="64" spans="1:21" ht="18.75">
      <c r="A64" s="12" t="s">
        <v>33</v>
      </c>
      <c r="C64" s="43">
        <f>IFERROR(VLOOKUP(A64,'درآمد سود سهام'!A:S,9,0),0)</f>
        <v>0</v>
      </c>
      <c r="D64" s="43"/>
      <c r="E64" s="43">
        <f>IFERROR(VLOOKUP(A64,'درآمد ناشی از تغییر قیمت اوراق'!A:Q,9,0),0)</f>
        <v>-238131047</v>
      </c>
      <c r="F64" s="43"/>
      <c r="G64" s="43">
        <f>IFERROR(VLOOKUP(A64,'درآمد ناشی از فروش'!A:Q,9,0),0)</f>
        <v>0</v>
      </c>
      <c r="H64" s="43"/>
      <c r="I64" s="43">
        <f t="shared" si="0"/>
        <v>-238131047</v>
      </c>
      <c r="J64" s="43"/>
      <c r="K64" s="105">
        <f t="shared" si="1"/>
        <v>0.11603742685106877</v>
      </c>
      <c r="L64" s="43"/>
      <c r="M64" s="43">
        <f>IFERROR(VLOOKUP(A64,'درآمد سود سهام'!A:S,15,0),0)</f>
        <v>0</v>
      </c>
      <c r="N64" s="43"/>
      <c r="O64" s="43">
        <f>IFERROR(VLOOKUP(A64,'درآمد ناشی از تغییر قیمت اوراق'!A:Q,17,0),0)</f>
        <v>6812618653</v>
      </c>
      <c r="P64" s="43"/>
      <c r="Q64" s="43">
        <f>IFERROR(VLOOKUP(A64,'درآمد ناشی از فروش'!A:Q,17,0),0)</f>
        <v>0</v>
      </c>
      <c r="R64" s="43"/>
      <c r="S64" s="43">
        <f t="shared" si="2"/>
        <v>6812618653</v>
      </c>
      <c r="T64" s="43"/>
      <c r="U64" s="105">
        <f>S64/درآمد!$F$12*100</f>
        <v>2.6016936609403669</v>
      </c>
    </row>
    <row r="65" spans="3:21" ht="19.5" thickBot="1">
      <c r="C65" s="104">
        <f>SUM(C9:C64)</f>
        <v>64793421825</v>
      </c>
      <c r="D65" s="43"/>
      <c r="E65" s="104">
        <f>SUM(E9:E64)</f>
        <v>-278314866733</v>
      </c>
      <c r="F65" s="43"/>
      <c r="G65" s="104">
        <f>SUM(G9:G64)</f>
        <v>-6092300124</v>
      </c>
      <c r="H65" s="43"/>
      <c r="I65" s="104">
        <f>SUM(I9:I64)</f>
        <v>-219613745032</v>
      </c>
      <c r="J65" s="43"/>
      <c r="K65" s="106">
        <f>SUM(K9:K64)</f>
        <v>107.01424360948602</v>
      </c>
      <c r="L65" s="43"/>
      <c r="M65" s="104">
        <f>SUM(M9:M64)</f>
        <v>93142194913</v>
      </c>
      <c r="N65" s="43"/>
      <c r="O65" s="104">
        <f>SUM(O9:O64)</f>
        <v>80242125304</v>
      </c>
      <c r="P65" s="43"/>
      <c r="Q65" s="104">
        <f>SUM(Q9:Q64)</f>
        <v>60718822703</v>
      </c>
      <c r="R65" s="43"/>
      <c r="S65" s="104">
        <f>SUM(S9:S64)</f>
        <v>234103142920</v>
      </c>
      <c r="T65" s="43"/>
      <c r="U65" s="106">
        <f>SUM(U9:U64)</f>
        <v>89.402430102699725</v>
      </c>
    </row>
    <row r="66" spans="3:21" ht="13.5" thickTop="1"/>
    <row r="67" spans="3:21">
      <c r="G67" s="40"/>
    </row>
    <row r="68" spans="3:21">
      <c r="C68" s="47"/>
      <c r="E68" s="47"/>
      <c r="G68" s="47"/>
      <c r="M68" s="47"/>
      <c r="O68" s="47"/>
      <c r="Q68" s="40"/>
    </row>
    <row r="69" spans="3:21">
      <c r="C69" s="40"/>
      <c r="E69" s="40"/>
      <c r="G69" s="47"/>
      <c r="M69" s="40"/>
      <c r="O69" s="40"/>
      <c r="Q69" s="47"/>
    </row>
    <row r="70" spans="3:21">
      <c r="C70" s="47"/>
      <c r="E70" s="47"/>
      <c r="G70" s="47"/>
      <c r="M70" s="47"/>
      <c r="O70" s="47"/>
      <c r="Q70" s="47"/>
    </row>
  </sheetData>
  <mergeCells count="8">
    <mergeCell ref="I7:K7"/>
    <mergeCell ref="S7:U7"/>
    <mergeCell ref="A1:U1"/>
    <mergeCell ref="A2:U2"/>
    <mergeCell ref="A3:U3"/>
    <mergeCell ref="A5:U5"/>
    <mergeCell ref="C6:K6"/>
    <mergeCell ref="M6:U6"/>
  </mergeCells>
  <conditionalFormatting sqref="A9:A64">
    <cfRule type="duplicateValues" dxfId="9" priority="1"/>
    <cfRule type="duplicateValues" dxfId="8" priority="163"/>
    <cfRule type="duplicateValues" dxfId="7" priority="164"/>
    <cfRule type="duplicateValues" dxfId="6" priority="165"/>
  </conditionalFormatting>
  <pageMargins left="0.39" right="0.39" top="0.39" bottom="0.39" header="0" footer="0"/>
  <pageSetup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13"/>
  <sheetViews>
    <sheetView rightToLeft="1" view="pageBreakPreview" zoomScale="154" zoomScaleNormal="100" zoomScaleSheetLayoutView="154" workbookViewId="0">
      <selection activeCell="M15" sqref="A15:M15"/>
    </sheetView>
  </sheetViews>
  <sheetFormatPr defaultRowHeight="12.75"/>
  <cols>
    <col min="1" max="1" width="29.7109375" bestFit="1" customWidth="1"/>
    <col min="2" max="2" width="1.28515625" customWidth="1"/>
    <col min="3" max="3" width="15.5703125" bestFit="1" customWidth="1"/>
    <col min="4" max="4" width="1.28515625" customWidth="1"/>
    <col min="5" max="5" width="15.7109375" bestFit="1" customWidth="1"/>
    <col min="6" max="6" width="1.28515625" customWidth="1"/>
    <col min="7" max="7" width="12.5703125" bestFit="1" customWidth="1"/>
    <col min="8" max="8" width="1.28515625" customWidth="1"/>
    <col min="9" max="9" width="15.85546875" bestFit="1" customWidth="1"/>
    <col min="10" max="10" width="1.28515625" customWidth="1"/>
    <col min="11" max="11" width="15.5703125" bestFit="1" customWidth="1"/>
    <col min="12" max="12" width="1.28515625" customWidth="1"/>
    <col min="13" max="13" width="15.7109375" bestFit="1" customWidth="1"/>
    <col min="14" max="14" width="1.28515625" customWidth="1"/>
    <col min="15" max="15" width="16.140625" bestFit="1" customWidth="1"/>
    <col min="16" max="16" width="1.28515625" customWidth="1"/>
    <col min="17" max="17" width="15.85546875" bestFit="1" customWidth="1"/>
    <col min="18" max="18" width="0.28515625" customWidth="1"/>
  </cols>
  <sheetData>
    <row r="1" spans="1:17" ht="29.1" customHeight="1">
      <c r="A1" s="109" t="str">
        <f>سهام!A1</f>
        <v>صندوق سرمایه‌گذاری افق دماوند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7" ht="21.75" customHeight="1">
      <c r="A2" s="109" t="s">
        <v>57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ht="21.75" customHeight="1">
      <c r="A3" s="109" t="str">
        <f>سهام!A3</f>
        <v>برای ماه منتهی به 1405/04/31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17" ht="14.45" customHeight="1"/>
    <row r="5" spans="1:17" ht="14.45" customHeight="1">
      <c r="A5" s="110" t="s">
        <v>125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</row>
    <row r="6" spans="1:17" ht="14.45" customHeight="1">
      <c r="C6" s="111" t="s">
        <v>72</v>
      </c>
      <c r="D6" s="111"/>
      <c r="E6" s="111"/>
      <c r="F6" s="111"/>
      <c r="G6" s="111"/>
      <c r="H6" s="111"/>
      <c r="I6" s="111"/>
      <c r="K6" s="111" t="s">
        <v>73</v>
      </c>
      <c r="L6" s="111"/>
      <c r="M6" s="111"/>
      <c r="N6" s="111"/>
      <c r="O6" s="111"/>
      <c r="P6" s="111"/>
      <c r="Q6" s="111"/>
    </row>
    <row r="7" spans="1:17" ht="14.45" customHeight="1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>
      <c r="A8" s="21" t="s">
        <v>79</v>
      </c>
      <c r="C8" s="2" t="s">
        <v>80</v>
      </c>
      <c r="E8" s="2" t="s">
        <v>76</v>
      </c>
      <c r="G8" s="2" t="s">
        <v>77</v>
      </c>
      <c r="I8" s="2" t="s">
        <v>36</v>
      </c>
      <c r="K8" s="2" t="s">
        <v>80</v>
      </c>
      <c r="M8" s="2" t="s">
        <v>76</v>
      </c>
      <c r="O8" s="2" t="s">
        <v>77</v>
      </c>
      <c r="Q8" s="2" t="s">
        <v>36</v>
      </c>
    </row>
    <row r="9" spans="1:17" ht="21.75" customHeight="1">
      <c r="A9" s="12" t="s">
        <v>49</v>
      </c>
      <c r="C9" s="50">
        <f>VLOOKUP(A9,'سود اوراق بهادار'!A:Q,7,0)</f>
        <v>14531728393</v>
      </c>
      <c r="D9" s="45"/>
      <c r="E9" s="50">
        <f>'درآمد ناشی از تغییر قیمت اوراق'!I54</f>
        <v>-274206862</v>
      </c>
      <c r="F9" s="45"/>
      <c r="G9" s="51">
        <f>'درآمد ناشی از فروش'!I28</f>
        <v>-8651888</v>
      </c>
      <c r="H9" s="45"/>
      <c r="I9" s="50">
        <f>C9+E9+G9</f>
        <v>14248869643</v>
      </c>
      <c r="J9" s="45"/>
      <c r="K9" s="50">
        <f>'سود اوراق بهادار'!Q8</f>
        <v>27397441907</v>
      </c>
      <c r="L9" s="45"/>
      <c r="M9" s="51">
        <f>'درآمد ناشی از تغییر قیمت اوراق'!Q54</f>
        <v>-637926862</v>
      </c>
      <c r="N9" s="45"/>
      <c r="O9" s="51">
        <f>'درآمد ناشی از فروش'!Q28</f>
        <v>90201862</v>
      </c>
      <c r="P9" s="45"/>
      <c r="Q9" s="50">
        <f>K9+M9+O9</f>
        <v>26849716907</v>
      </c>
    </row>
    <row r="10" spans="1:17" ht="21.75" customHeight="1" thickBot="1">
      <c r="A10" s="22"/>
      <c r="C10" s="52">
        <f>SUM(C9:C9)</f>
        <v>14531728393</v>
      </c>
      <c r="D10" s="45"/>
      <c r="E10" s="44">
        <f>SUM(E9:E9)</f>
        <v>-274206862</v>
      </c>
      <c r="F10" s="45"/>
      <c r="G10" s="44">
        <f>SUM(G9:G9)</f>
        <v>-8651888</v>
      </c>
      <c r="H10" s="45"/>
      <c r="I10" s="44">
        <f>SUM(I9:I9)</f>
        <v>14248869643</v>
      </c>
      <c r="J10" s="45"/>
      <c r="K10" s="44">
        <f>SUM(K9:K9)</f>
        <v>27397441907</v>
      </c>
      <c r="L10" s="45"/>
      <c r="M10" s="44">
        <f>SUM(M9:M9)</f>
        <v>-637926862</v>
      </c>
      <c r="N10" s="45"/>
      <c r="O10" s="44">
        <f>SUM(O9:O9)</f>
        <v>90201862</v>
      </c>
      <c r="P10" s="45"/>
      <c r="Q10" s="44">
        <f>SUM(Q9:Q9)</f>
        <v>26849716907</v>
      </c>
    </row>
    <row r="11" spans="1:17" ht="13.5" thickTop="1">
      <c r="C11" s="40"/>
      <c r="E11" s="40"/>
      <c r="G11" s="40"/>
      <c r="I11" s="47"/>
      <c r="K11" s="40"/>
      <c r="M11" s="40"/>
      <c r="O11" s="40"/>
      <c r="Q11" s="47"/>
    </row>
    <row r="12" spans="1:17">
      <c r="C12" s="40"/>
      <c r="E12" s="40"/>
      <c r="G12" s="40"/>
      <c r="K12" s="40"/>
      <c r="M12" s="40"/>
      <c r="O12" s="40"/>
    </row>
    <row r="13" spans="1:17">
      <c r="K13" s="47"/>
      <c r="M13" s="47"/>
      <c r="O13" s="47"/>
    </row>
  </sheetData>
  <mergeCells count="6">
    <mergeCell ref="A5:Q5"/>
    <mergeCell ref="C6:I6"/>
    <mergeCell ref="K6:Q6"/>
    <mergeCell ref="A1:Q1"/>
    <mergeCell ref="A2:Q2"/>
    <mergeCell ref="A3:Q3"/>
  </mergeCells>
  <pageMargins left="0.39" right="0.39" top="0.39" bottom="0.39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صورت وضعیت پرتفوی</vt:lpstr>
      <vt:lpstr>سهام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</vt:lpstr>
      <vt:lpstr>سود ترجیحی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cp:lastPrinted>2025-12-27T14:20:13Z</cp:lastPrinted>
  <dcterms:created xsi:type="dcterms:W3CDTF">2025-11-23T06:16:00Z</dcterms:created>
  <dcterms:modified xsi:type="dcterms:W3CDTF">2026-07-29T12:16:36Z</dcterms:modified>
</cp:coreProperties>
</file>