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AF\حسابداری صندوق\5-بخشی افق دماوند\عملیات حسابداری\گزارش پرتفوی\1405\05\"/>
    </mc:Choice>
  </mc:AlternateContent>
  <xr:revisionPtr revIDLastSave="0" documentId="13_ncr:1_{0F37BCA9-A598-464A-94D9-BE60FD290049}" xr6:coauthVersionLast="47" xr6:coauthVersionMax="47" xr10:uidLastSave="{00000000-0000-0000-0000-000000000000}"/>
  <bookViews>
    <workbookView xWindow="-120" yWindow="-120" windowWidth="29040" windowHeight="15840" tabRatio="951" xr2:uid="{00000000-000D-0000-FFFF-FFFF00000000}"/>
  </bookViews>
  <sheets>
    <sheet name="صورت وضعیت پرتفوی" sheetId="22" r:id="rId1"/>
    <sheet name="سهام" sheetId="2" r:id="rId2"/>
    <sheet name="اوراق مشتقه" sheetId="29" r:id="rId3"/>
    <sheet name="اوراق" sheetId="5" r:id="rId4"/>
    <sheet name="سپرده" sheetId="7" r:id="rId5"/>
    <sheet name="درآمد" sheetId="8" r:id="rId6"/>
    <sheet name="درآمد سرمایه گذاری در سهام" sheetId="9" r:id="rId7"/>
    <sheet name="درآمد سرمایه گذاری در اوراق" sheetId="11" r:id="rId8"/>
    <sheet name="سود ترجیحی" sheetId="24" r:id="rId9"/>
    <sheet name="درآمد سپرده بانکی" sheetId="13" r:id="rId10"/>
    <sheet name="سایر درآمدها" sheetId="14" r:id="rId11"/>
    <sheet name="درآمد سود سهام" sheetId="15" r:id="rId12"/>
    <sheet name="سود اوراق بهادار" sheetId="17" r:id="rId13"/>
    <sheet name="سود سپرده بانکی" sheetId="18" r:id="rId14"/>
    <sheet name="درآمد ناشی از فروش" sheetId="19" r:id="rId15"/>
    <sheet name="درآمد  اختیار" sheetId="20" r:id="rId16"/>
    <sheet name="درآمد ناشی از تغییر قیمت اوراق" sheetId="21" r:id="rId17"/>
  </sheets>
  <definedNames>
    <definedName name="_xlnm._FilterDatabase" localSheetId="6" hidden="1">'درآمد سرمایه گذاری در سهام'!$A$8:$U$8</definedName>
    <definedName name="_xlnm._FilterDatabase" localSheetId="11" hidden="1">'درآمد سود سهام'!$A$7:$S$7</definedName>
    <definedName name="_xlnm._FilterDatabase" localSheetId="1" hidden="1">سهام!$A$8:$AA$8</definedName>
    <definedName name="_xlnm.Print_Area" localSheetId="3">اوراق!$A$1:$AL$10</definedName>
    <definedName name="_xlnm.Print_Area" localSheetId="2">'اوراق مشتقه'!$A$1:$AX$14</definedName>
    <definedName name="_xlnm.Print_Area" localSheetId="5">درآمد!$A$1:$K$12</definedName>
    <definedName name="_xlnm.Print_Area" localSheetId="15">'درآمد  اختیار'!$A$1:$M$18</definedName>
    <definedName name="_xlnm.Print_Area" localSheetId="9">'درآمد سپرده بانکی'!$A$1:$J$12</definedName>
    <definedName name="_xlnm.Print_Area" localSheetId="7">'درآمد سرمایه گذاری در اوراق'!$A$1:$R$10</definedName>
    <definedName name="_xlnm.Print_Area" localSheetId="6">'درآمد سرمایه گذاری در سهام'!$A$1:$V$81</definedName>
    <definedName name="_xlnm.Print_Area" localSheetId="11">'درآمد سود سهام'!$A$1:$T$32</definedName>
    <definedName name="_xlnm.Print_Area" localSheetId="16">'درآمد ناشی از تغییر قیمت اوراق'!$A$1:$Q$67</definedName>
    <definedName name="_xlnm.Print_Area" localSheetId="14">'درآمد ناشی از فروش'!$A$1:$Q$35</definedName>
    <definedName name="_xlnm.Print_Area" localSheetId="10">'سایر درآمدها'!$A$1:$F$10</definedName>
    <definedName name="_xlnm.Print_Area" localSheetId="4">سپرده!$A$1:$K$12</definedName>
    <definedName name="_xlnm.Print_Area" localSheetId="12">'سود اوراق بهادار'!$A$1:$R$9</definedName>
    <definedName name="_xlnm.Print_Area" localSheetId="8">'سود ترجیحی'!$A$1:$H$17</definedName>
    <definedName name="_xlnm.Print_Area" localSheetId="13">'سود سپرده بانکی'!$A$1:$M$13</definedName>
    <definedName name="_xlnm.Print_Area" localSheetId="1">سهام!$A$1:$Y$64</definedName>
  </definedNames>
  <calcPr calcId="191029"/>
</workbook>
</file>

<file path=xl/calcChain.xml><?xml version="1.0" encoding="utf-8"?>
<calcChain xmlns="http://schemas.openxmlformats.org/spreadsheetml/2006/main">
  <c r="E9" i="7" l="1"/>
  <c r="I9" i="7" s="1"/>
  <c r="I10" i="7"/>
  <c r="I8" i="7"/>
  <c r="E9" i="11" l="1"/>
  <c r="G11" i="13"/>
  <c r="C11" i="13"/>
  <c r="G66" i="21"/>
  <c r="E66" i="21"/>
  <c r="Q66" i="21"/>
  <c r="O66" i="21"/>
  <c r="M66" i="21"/>
  <c r="I66" i="21"/>
  <c r="I9" i="19"/>
  <c r="I10" i="19"/>
  <c r="I11" i="19"/>
  <c r="I12" i="19"/>
  <c r="I13" i="19"/>
  <c r="I14" i="19"/>
  <c r="I15" i="19"/>
  <c r="I16" i="19"/>
  <c r="I17" i="19"/>
  <c r="I18" i="19"/>
  <c r="I19" i="19"/>
  <c r="I20" i="19"/>
  <c r="I21" i="19"/>
  <c r="I22" i="19"/>
  <c r="I23" i="19"/>
  <c r="I24" i="19"/>
  <c r="I25" i="19"/>
  <c r="I26" i="19"/>
  <c r="I27" i="19"/>
  <c r="I28" i="19"/>
  <c r="I29" i="19"/>
  <c r="I30" i="19"/>
  <c r="I31" i="19"/>
  <c r="I32" i="19"/>
  <c r="I33" i="19"/>
  <c r="I34" i="19"/>
  <c r="G9" i="11" s="1"/>
  <c r="I8" i="19"/>
  <c r="Q9" i="19"/>
  <c r="Q10" i="19"/>
  <c r="Q11" i="19"/>
  <c r="Q12" i="19"/>
  <c r="Q13" i="19"/>
  <c r="Q14" i="19"/>
  <c r="Q15" i="19"/>
  <c r="Q16" i="19"/>
  <c r="Q17" i="19"/>
  <c r="Q18" i="19"/>
  <c r="Q19" i="19"/>
  <c r="Q20" i="19"/>
  <c r="Q21" i="19"/>
  <c r="Q22" i="19"/>
  <c r="Q23" i="19"/>
  <c r="Q24" i="19"/>
  <c r="Q25" i="19"/>
  <c r="Q26" i="19"/>
  <c r="Q27" i="19"/>
  <c r="Q28" i="19"/>
  <c r="Q29" i="19"/>
  <c r="Q30" i="19"/>
  <c r="Q31" i="19"/>
  <c r="Q32" i="19"/>
  <c r="Q33" i="19"/>
  <c r="Q34" i="19"/>
  <c r="O9" i="11" s="1"/>
  <c r="Q8" i="19"/>
  <c r="M9" i="15"/>
  <c r="M10" i="15"/>
  <c r="M11" i="15"/>
  <c r="M12" i="15"/>
  <c r="M13" i="15"/>
  <c r="M14" i="15"/>
  <c r="M15" i="15"/>
  <c r="M16" i="15"/>
  <c r="M17" i="15"/>
  <c r="M18" i="15"/>
  <c r="M19" i="15"/>
  <c r="M20" i="15"/>
  <c r="M21" i="15"/>
  <c r="M22" i="15"/>
  <c r="M23" i="15"/>
  <c r="M24" i="15"/>
  <c r="M25" i="15"/>
  <c r="M26" i="15"/>
  <c r="M27" i="15"/>
  <c r="M28" i="15"/>
  <c r="M29" i="15"/>
  <c r="M30" i="15"/>
  <c r="M31" i="15"/>
  <c r="M8" i="15"/>
  <c r="S9" i="15"/>
  <c r="S10" i="15"/>
  <c r="S11" i="15"/>
  <c r="S12" i="15"/>
  <c r="S13" i="15"/>
  <c r="S14" i="15"/>
  <c r="S15" i="15"/>
  <c r="S16" i="15"/>
  <c r="S17" i="15"/>
  <c r="S18" i="15"/>
  <c r="S19" i="15"/>
  <c r="S20" i="15"/>
  <c r="S21" i="15"/>
  <c r="S22" i="15"/>
  <c r="S23" i="15"/>
  <c r="S24" i="15"/>
  <c r="S25" i="15"/>
  <c r="S26" i="15"/>
  <c r="S27" i="15"/>
  <c r="S28" i="15"/>
  <c r="S29" i="15"/>
  <c r="S30" i="15"/>
  <c r="S31" i="15"/>
  <c r="S8" i="15"/>
  <c r="Q32" i="15"/>
  <c r="I32" i="15"/>
  <c r="E12" i="18"/>
  <c r="C12" i="18"/>
  <c r="G11" i="18"/>
  <c r="I12" i="18"/>
  <c r="M11" i="18"/>
  <c r="K12" i="18"/>
  <c r="K8" i="7"/>
  <c r="AK9" i="5"/>
  <c r="Y61" i="2"/>
  <c r="A1" i="29"/>
  <c r="A3" i="29"/>
  <c r="Y10" i="2"/>
  <c r="Y11" i="2"/>
  <c r="Y12" i="2"/>
  <c r="Y13" i="2"/>
  <c r="Y14" i="2"/>
  <c r="Y15" i="2"/>
  <c r="Y16" i="2"/>
  <c r="Y17" i="2"/>
  <c r="Y18" i="2"/>
  <c r="Y19" i="2"/>
  <c r="Y20" i="2"/>
  <c r="Y21" i="2"/>
  <c r="Y22" i="2"/>
  <c r="Y23" i="2"/>
  <c r="Y24" i="2"/>
  <c r="Y25" i="2"/>
  <c r="Y26" i="2"/>
  <c r="Y27" i="2"/>
  <c r="Y28" i="2"/>
  <c r="Y29" i="2"/>
  <c r="Y30" i="2"/>
  <c r="Y31" i="2"/>
  <c r="Y32" i="2"/>
  <c r="Y33" i="2"/>
  <c r="Y34" i="2"/>
  <c r="Y35" i="2"/>
  <c r="Y36" i="2"/>
  <c r="Y37" i="2"/>
  <c r="Y38" i="2"/>
  <c r="Y39" i="2"/>
  <c r="Y40" i="2"/>
  <c r="Y41" i="2"/>
  <c r="Y42" i="2"/>
  <c r="Y43" i="2"/>
  <c r="Y44" i="2"/>
  <c r="Y45" i="2"/>
  <c r="Y46" i="2"/>
  <c r="Y47" i="2"/>
  <c r="Y48" i="2"/>
  <c r="Y49" i="2"/>
  <c r="Y50" i="2"/>
  <c r="Y51" i="2"/>
  <c r="Y52" i="2"/>
  <c r="Y53" i="2"/>
  <c r="Y54" i="2"/>
  <c r="Y55" i="2"/>
  <c r="Y56" i="2"/>
  <c r="Y57" i="2"/>
  <c r="Y58" i="2"/>
  <c r="Y59" i="2"/>
  <c r="Y60" i="2"/>
  <c r="Y62" i="2"/>
  <c r="Y63" i="2"/>
  <c r="Y9" i="2"/>
  <c r="Y64" i="2" s="1"/>
  <c r="K9" i="7"/>
  <c r="L18" i="20"/>
  <c r="F18" i="20"/>
  <c r="J18" i="20"/>
  <c r="H18" i="20"/>
  <c r="M9" i="18"/>
  <c r="M10" i="18"/>
  <c r="M8" i="18"/>
  <c r="G9" i="18"/>
  <c r="G10" i="18"/>
  <c r="G8" i="18"/>
  <c r="G12" i="18" s="1"/>
  <c r="O32" i="15"/>
  <c r="A1" i="13"/>
  <c r="A1" i="11"/>
  <c r="A1" i="9"/>
  <c r="A1" i="8"/>
  <c r="A1" i="7"/>
  <c r="A1" i="5"/>
  <c r="W64" i="2" l="1"/>
  <c r="U64" i="2"/>
  <c r="O64" i="2"/>
  <c r="K64" i="2"/>
  <c r="G64" i="2"/>
  <c r="E64" i="2"/>
  <c r="C10" i="14"/>
  <c r="C11" i="7"/>
  <c r="E11" i="7"/>
  <c r="G11" i="7"/>
  <c r="Q8" i="17" l="1"/>
  <c r="K9" i="11" s="1"/>
  <c r="K10" i="11" s="1"/>
  <c r="K8" i="17"/>
  <c r="M32" i="15"/>
  <c r="AK10" i="5"/>
  <c r="Q10" i="5"/>
  <c r="S10" i="5"/>
  <c r="W10" i="5"/>
  <c r="AA10" i="5"/>
  <c r="AG10" i="5"/>
  <c r="AI10" i="5"/>
  <c r="E9" i="24"/>
  <c r="G35" i="19"/>
  <c r="M35" i="19"/>
  <c r="Q35" i="19" s="1"/>
  <c r="E35" i="19"/>
  <c r="K10" i="7"/>
  <c r="K32" i="15"/>
  <c r="K11" i="7" l="1"/>
  <c r="I11" i="7"/>
  <c r="I35" i="19"/>
  <c r="S32" i="15"/>
  <c r="G10" i="13"/>
  <c r="G9" i="13"/>
  <c r="G8" i="13"/>
  <c r="G12" i="13" s="1"/>
  <c r="I11" i="13" s="1"/>
  <c r="C10" i="13"/>
  <c r="C9" i="13"/>
  <c r="C8" i="13"/>
  <c r="E10" i="14"/>
  <c r="F11" i="8" s="1"/>
  <c r="J11" i="8" s="1"/>
  <c r="G9" i="17"/>
  <c r="A1" i="21"/>
  <c r="A1" i="20"/>
  <c r="A1" i="19"/>
  <c r="A1" i="18"/>
  <c r="A1" i="17"/>
  <c r="A1" i="15"/>
  <c r="A1" i="14"/>
  <c r="M18" i="9" l="1"/>
  <c r="M66" i="9"/>
  <c r="M52" i="9"/>
  <c r="M19" i="9"/>
  <c r="C43" i="9"/>
  <c r="M76" i="9"/>
  <c r="M68" i="9"/>
  <c r="C44" i="9"/>
  <c r="M69" i="9"/>
  <c r="C45" i="9"/>
  <c r="M46" i="9"/>
  <c r="C22" i="9"/>
  <c r="C53" i="9"/>
  <c r="M47" i="9"/>
  <c r="C71" i="9"/>
  <c r="M36" i="9"/>
  <c r="C60" i="9"/>
  <c r="M53" i="9"/>
  <c r="C13" i="9"/>
  <c r="C61" i="9"/>
  <c r="M50" i="9"/>
  <c r="C26" i="9"/>
  <c r="M51" i="9"/>
  <c r="C27" i="9"/>
  <c r="Q76" i="9"/>
  <c r="Q78" i="9"/>
  <c r="G80" i="9"/>
  <c r="G67" i="9"/>
  <c r="Q73" i="9"/>
  <c r="C12" i="13"/>
  <c r="G39" i="9"/>
  <c r="Q15" i="9"/>
  <c r="G40" i="9"/>
  <c r="G49" i="9"/>
  <c r="G17" i="9"/>
  <c r="G65" i="9"/>
  <c r="G42" i="9"/>
  <c r="Q32" i="9"/>
  <c r="G37" i="9"/>
  <c r="Q45" i="9"/>
  <c r="G14" i="9"/>
  <c r="Q46" i="9"/>
  <c r="Q11" i="9"/>
  <c r="Q59" i="9"/>
  <c r="G50" i="9"/>
  <c r="Q48" i="9"/>
  <c r="Q25" i="9"/>
  <c r="G12" i="9"/>
  <c r="G26" i="9"/>
  <c r="O54" i="9"/>
  <c r="E78" i="9"/>
  <c r="E17" i="9"/>
  <c r="E31" i="9"/>
  <c r="E79" i="9"/>
  <c r="O80" i="9"/>
  <c r="E56" i="9"/>
  <c r="O9" i="9"/>
  <c r="E57" i="9"/>
  <c r="O10" i="9"/>
  <c r="O58" i="9"/>
  <c r="E52" i="9"/>
  <c r="O35" i="9"/>
  <c r="E59" i="9"/>
  <c r="E65" i="9"/>
  <c r="E24" i="9"/>
  <c r="E72" i="9"/>
  <c r="O49" i="9"/>
  <c r="E25" i="9"/>
  <c r="O26" i="9"/>
  <c r="O74" i="9"/>
  <c r="O27" i="9"/>
  <c r="O75" i="9"/>
  <c r="E39" i="9"/>
  <c r="O65" i="9"/>
  <c r="E41" i="9"/>
  <c r="L11" i="8"/>
  <c r="M11" i="8"/>
  <c r="O10" i="11"/>
  <c r="A3" i="24"/>
  <c r="A3" i="21"/>
  <c r="O18" i="9" s="1"/>
  <c r="A3" i="20"/>
  <c r="G76" i="9" s="1"/>
  <c r="A3" i="19"/>
  <c r="G51" i="9" s="1"/>
  <c r="A3" i="18"/>
  <c r="A3" i="17"/>
  <c r="C9" i="11" s="1"/>
  <c r="I9" i="11" s="1"/>
  <c r="A3" i="15"/>
  <c r="M30" i="9" s="1"/>
  <c r="A3" i="14"/>
  <c r="A3" i="13"/>
  <c r="A3" i="11"/>
  <c r="A3" i="9"/>
  <c r="A3" i="8"/>
  <c r="A3" i="7"/>
  <c r="A3" i="5"/>
  <c r="M9" i="17"/>
  <c r="O15" i="9" l="1"/>
  <c r="O14" i="9"/>
  <c r="O37" i="9"/>
  <c r="E12" i="9"/>
  <c r="E47" i="9"/>
  <c r="E70" i="9"/>
  <c r="E53" i="9"/>
  <c r="O69" i="9"/>
  <c r="O68" i="9"/>
  <c r="E19" i="9"/>
  <c r="E66" i="9"/>
  <c r="Q51" i="9"/>
  <c r="Q13" i="9"/>
  <c r="Q27" i="9"/>
  <c r="Q63" i="9"/>
  <c r="G25" i="9"/>
  <c r="Q62" i="9"/>
  <c r="G30" i="9"/>
  <c r="Q66" i="9"/>
  <c r="G28" i="9"/>
  <c r="G27" i="9"/>
  <c r="G72" i="9"/>
  <c r="G68" i="9"/>
  <c r="C65" i="9"/>
  <c r="I65" i="9" s="1"/>
  <c r="K65" i="9" s="1"/>
  <c r="M39" i="9"/>
  <c r="M38" i="9"/>
  <c r="M73" i="9"/>
  <c r="C48" i="9"/>
  <c r="C59" i="9"/>
  <c r="C76" i="9"/>
  <c r="M34" i="9"/>
  <c r="M57" i="9"/>
  <c r="M56" i="9"/>
  <c r="C31" i="9"/>
  <c r="C78" i="9"/>
  <c r="E75" i="9"/>
  <c r="E74" i="9"/>
  <c r="E77" i="9"/>
  <c r="O25" i="9"/>
  <c r="O72" i="9"/>
  <c r="E35" i="9"/>
  <c r="E58" i="9"/>
  <c r="O17" i="9"/>
  <c r="O57" i="9"/>
  <c r="O56" i="9"/>
  <c r="O79" i="9"/>
  <c r="E54" i="9"/>
  <c r="G13" i="9"/>
  <c r="I13" i="9" s="1"/>
  <c r="K13" i="9" s="1"/>
  <c r="G59" i="9"/>
  <c r="G61" i="9"/>
  <c r="G57" i="9"/>
  <c r="Q50" i="9"/>
  <c r="G55" i="9"/>
  <c r="G18" i="9"/>
  <c r="Q54" i="9"/>
  <c r="G16" i="9"/>
  <c r="G15" i="9"/>
  <c r="Q72" i="9"/>
  <c r="Q80" i="9"/>
  <c r="M41" i="9"/>
  <c r="M27" i="9"/>
  <c r="S27" i="9" s="1"/>
  <c r="M26" i="9"/>
  <c r="M61" i="9"/>
  <c r="C36" i="9"/>
  <c r="C47" i="9"/>
  <c r="M64" i="9"/>
  <c r="M22" i="9"/>
  <c r="M45" i="9"/>
  <c r="M44" i="9"/>
  <c r="C19" i="9"/>
  <c r="C66" i="9"/>
  <c r="E11" i="13"/>
  <c r="E63" i="9"/>
  <c r="E62" i="9"/>
  <c r="O40" i="9"/>
  <c r="O13" i="9"/>
  <c r="O60" i="9"/>
  <c r="E23" i="9"/>
  <c r="E46" i="9"/>
  <c r="E76" i="9"/>
  <c r="O45" i="9"/>
  <c r="O44" i="9"/>
  <c r="O67" i="9"/>
  <c r="E42" i="9"/>
  <c r="Q38" i="9"/>
  <c r="G47" i="9"/>
  <c r="G58" i="9"/>
  <c r="G45" i="9"/>
  <c r="G56" i="9"/>
  <c r="G43" i="9"/>
  <c r="Q9" i="9"/>
  <c r="Q42" i="9"/>
  <c r="Q65" i="9"/>
  <c r="Q64" i="9"/>
  <c r="G71" i="9"/>
  <c r="Q68" i="9"/>
  <c r="C28" i="9"/>
  <c r="M15" i="9"/>
  <c r="S15" i="9" s="1"/>
  <c r="M14" i="9"/>
  <c r="M49" i="9"/>
  <c r="C24" i="9"/>
  <c r="C35" i="9"/>
  <c r="M16" i="9"/>
  <c r="M10" i="9"/>
  <c r="M33" i="9"/>
  <c r="M32" i="9"/>
  <c r="M79" i="9"/>
  <c r="C54" i="9"/>
  <c r="E51" i="9"/>
  <c r="E50" i="9"/>
  <c r="E73" i="9"/>
  <c r="E29" i="9"/>
  <c r="O48" i="9"/>
  <c r="E11" i="9"/>
  <c r="E34" i="9"/>
  <c r="E16" i="9"/>
  <c r="O33" i="9"/>
  <c r="O32" i="9"/>
  <c r="O55" i="9"/>
  <c r="E30" i="9"/>
  <c r="G60" i="9"/>
  <c r="G35" i="9"/>
  <c r="G46" i="9"/>
  <c r="G33" i="9"/>
  <c r="G44" i="9"/>
  <c r="G31" i="9"/>
  <c r="Q55" i="9"/>
  <c r="Q30" i="9"/>
  <c r="Q53" i="9"/>
  <c r="Q52" i="9"/>
  <c r="Q71" i="9"/>
  <c r="G75" i="9"/>
  <c r="C75" i="9"/>
  <c r="C74" i="9"/>
  <c r="M77" i="9"/>
  <c r="M37" i="9"/>
  <c r="C12" i="9"/>
  <c r="I12" i="9" s="1"/>
  <c r="K12" i="9" s="1"/>
  <c r="C23" i="9"/>
  <c r="C70" i="9"/>
  <c r="C77" i="9"/>
  <c r="M21" i="9"/>
  <c r="M20" i="9"/>
  <c r="M67" i="9"/>
  <c r="C42" i="9"/>
  <c r="I42" i="9" s="1"/>
  <c r="K42" i="9" s="1"/>
  <c r="E38" i="9"/>
  <c r="E61" i="9"/>
  <c r="E40" i="9"/>
  <c r="O36" i="9"/>
  <c r="O71" i="9"/>
  <c r="E22" i="9"/>
  <c r="O28" i="9"/>
  <c r="O21" i="9"/>
  <c r="O20" i="9"/>
  <c r="O43" i="9"/>
  <c r="E18" i="9"/>
  <c r="G48" i="9"/>
  <c r="G23" i="9"/>
  <c r="G34" i="9"/>
  <c r="G21" i="9"/>
  <c r="G32" i="9"/>
  <c r="G19" i="9"/>
  <c r="Q43" i="9"/>
  <c r="Q18" i="9"/>
  <c r="Q41" i="9"/>
  <c r="Q40" i="9"/>
  <c r="G74" i="9"/>
  <c r="G79" i="9"/>
  <c r="C63" i="9"/>
  <c r="C62" i="9"/>
  <c r="M17" i="9"/>
  <c r="M25" i="9"/>
  <c r="S25" i="9" s="1"/>
  <c r="M72" i="9"/>
  <c r="S72" i="9" s="1"/>
  <c r="C11" i="9"/>
  <c r="C58" i="9"/>
  <c r="I58" i="9" s="1"/>
  <c r="K58" i="9" s="1"/>
  <c r="C9" i="9"/>
  <c r="C80" i="9"/>
  <c r="C17" i="9"/>
  <c r="I17" i="9" s="1"/>
  <c r="K17" i="9" s="1"/>
  <c r="M55" i="9"/>
  <c r="C30" i="9"/>
  <c r="S68" i="9"/>
  <c r="E27" i="9"/>
  <c r="E26" i="9"/>
  <c r="E49" i="9"/>
  <c r="O52" i="9"/>
  <c r="S52" i="9" s="1"/>
  <c r="O24" i="9"/>
  <c r="O59" i="9"/>
  <c r="E10" i="9"/>
  <c r="E9" i="9"/>
  <c r="E80" i="9"/>
  <c r="O77" i="9"/>
  <c r="O31" i="9"/>
  <c r="O78" i="9"/>
  <c r="G36" i="9"/>
  <c r="G11" i="9"/>
  <c r="G22" i="9"/>
  <c r="I22" i="9" s="1"/>
  <c r="K22" i="9" s="1"/>
  <c r="G66" i="9"/>
  <c r="G20" i="9"/>
  <c r="Q56" i="9"/>
  <c r="Q31" i="9"/>
  <c r="G62" i="9"/>
  <c r="Q29" i="9"/>
  <c r="Q28" i="9"/>
  <c r="G70" i="9"/>
  <c r="Q79" i="9"/>
  <c r="C51" i="9"/>
  <c r="I51" i="9" s="1"/>
  <c r="K51" i="9" s="1"/>
  <c r="C50" i="9"/>
  <c r="I50" i="9" s="1"/>
  <c r="K50" i="9" s="1"/>
  <c r="C64" i="9"/>
  <c r="M13" i="9"/>
  <c r="S13" i="9" s="1"/>
  <c r="M60" i="9"/>
  <c r="M71" i="9"/>
  <c r="C46" i="9"/>
  <c r="I46" i="9" s="1"/>
  <c r="K46" i="9" s="1"/>
  <c r="C69" i="9"/>
  <c r="C68" i="9"/>
  <c r="M65" i="9"/>
  <c r="S65" i="9" s="1"/>
  <c r="M43" i="9"/>
  <c r="C18" i="9"/>
  <c r="I18" i="9" s="1"/>
  <c r="K18" i="9" s="1"/>
  <c r="E15" i="9"/>
  <c r="E14" i="9"/>
  <c r="E37" i="9"/>
  <c r="O16" i="9"/>
  <c r="O12" i="9"/>
  <c r="O47" i="9"/>
  <c r="O70" i="9"/>
  <c r="E69" i="9"/>
  <c r="E68" i="9"/>
  <c r="O76" i="9"/>
  <c r="S76" i="9" s="1"/>
  <c r="O19" i="9"/>
  <c r="O66" i="9"/>
  <c r="S66" i="9" s="1"/>
  <c r="G24" i="9"/>
  <c r="Q60" i="9"/>
  <c r="G10" i="9"/>
  <c r="Q58" i="9"/>
  <c r="Q57" i="9"/>
  <c r="Q44" i="9"/>
  <c r="Q19" i="9"/>
  <c r="Q39" i="9"/>
  <c r="Q17" i="9"/>
  <c r="Q16" i="9"/>
  <c r="Q70" i="9"/>
  <c r="G78" i="9"/>
  <c r="C39" i="9"/>
  <c r="I39" i="9" s="1"/>
  <c r="K39" i="9" s="1"/>
  <c r="C38" i="9"/>
  <c r="C73" i="9"/>
  <c r="C29" i="9"/>
  <c r="M48" i="9"/>
  <c r="S48" i="9" s="1"/>
  <c r="M59" i="9"/>
  <c r="S59" i="9" s="1"/>
  <c r="C34" i="9"/>
  <c r="C57" i="9"/>
  <c r="I57" i="9" s="1"/>
  <c r="K57" i="9" s="1"/>
  <c r="C56" i="9"/>
  <c r="I56" i="9" s="1"/>
  <c r="K56" i="9" s="1"/>
  <c r="C16" i="9"/>
  <c r="I16" i="9" s="1"/>
  <c r="K16" i="9" s="1"/>
  <c r="M31" i="9"/>
  <c r="S31" i="9" s="1"/>
  <c r="M78" i="9"/>
  <c r="I61" i="9"/>
  <c r="K61" i="9" s="1"/>
  <c r="O63" i="9"/>
  <c r="O62" i="9"/>
  <c r="E13" i="9"/>
  <c r="E60" i="9"/>
  <c r="I60" i="9" s="1"/>
  <c r="K60" i="9" s="1"/>
  <c r="O41" i="9"/>
  <c r="O23" i="9"/>
  <c r="O46" i="9"/>
  <c r="S46" i="9" s="1"/>
  <c r="E45" i="9"/>
  <c r="I45" i="9" s="1"/>
  <c r="K45" i="9" s="1"/>
  <c r="E44" i="9"/>
  <c r="E67" i="9"/>
  <c r="O53" i="9"/>
  <c r="S53" i="9" s="1"/>
  <c r="O42" i="9"/>
  <c r="Q61" i="9"/>
  <c r="Q36" i="9"/>
  <c r="S36" i="9" s="1"/>
  <c r="Q47" i="9"/>
  <c r="S47" i="9" s="1"/>
  <c r="Q34" i="9"/>
  <c r="Q33" i="9"/>
  <c r="Q20" i="9"/>
  <c r="G53" i="9"/>
  <c r="I53" i="9" s="1"/>
  <c r="K53" i="9" s="1"/>
  <c r="Q26" i="9"/>
  <c r="Q14" i="9"/>
  <c r="Q75" i="9"/>
  <c r="G69" i="9"/>
  <c r="G77" i="9"/>
  <c r="C15" i="9"/>
  <c r="I15" i="9" s="1"/>
  <c r="K15" i="9" s="1"/>
  <c r="C14" i="9"/>
  <c r="I14" i="9" s="1"/>
  <c r="K14" i="9" s="1"/>
  <c r="C49" i="9"/>
  <c r="C40" i="9"/>
  <c r="I40" i="9" s="1"/>
  <c r="K40" i="9" s="1"/>
  <c r="M24" i="9"/>
  <c r="M35" i="9"/>
  <c r="C10" i="9"/>
  <c r="C33" i="9"/>
  <c r="C32" i="9"/>
  <c r="C79" i="9"/>
  <c r="I79" i="9" s="1"/>
  <c r="K79" i="9" s="1"/>
  <c r="C41" i="9"/>
  <c r="M54" i="9"/>
  <c r="S54" i="9" s="1"/>
  <c r="I27" i="9"/>
  <c r="K27" i="9" s="1"/>
  <c r="I26" i="9"/>
  <c r="K26" i="9" s="1"/>
  <c r="I44" i="9"/>
  <c r="K44" i="9" s="1"/>
  <c r="O51" i="9"/>
  <c r="S51" i="9" s="1"/>
  <c r="O50" i="9"/>
  <c r="S50" i="9" s="1"/>
  <c r="O73" i="9"/>
  <c r="E48" i="9"/>
  <c r="E64" i="9"/>
  <c r="O11" i="9"/>
  <c r="O34" i="9"/>
  <c r="E33" i="9"/>
  <c r="E32" i="9"/>
  <c r="E55" i="9"/>
  <c r="E28" i="9"/>
  <c r="O30" i="9"/>
  <c r="S30" i="9" s="1"/>
  <c r="Q49" i="9"/>
  <c r="Q24" i="9"/>
  <c r="Q35" i="9"/>
  <c r="Q22" i="9"/>
  <c r="Q21" i="9"/>
  <c r="G9" i="9"/>
  <c r="G41" i="9"/>
  <c r="G64" i="9"/>
  <c r="G63" i="9"/>
  <c r="Q74" i="9"/>
  <c r="Q67" i="9"/>
  <c r="Q77" i="9"/>
  <c r="M75" i="9"/>
  <c r="M74" i="9"/>
  <c r="C37" i="9"/>
  <c r="I37" i="9" s="1"/>
  <c r="K37" i="9" s="1"/>
  <c r="M40" i="9"/>
  <c r="M12" i="9"/>
  <c r="M23" i="9"/>
  <c r="M70" i="9"/>
  <c r="S70" i="9" s="1"/>
  <c r="C21" i="9"/>
  <c r="C20" i="9"/>
  <c r="C67" i="9"/>
  <c r="I67" i="9" s="1"/>
  <c r="K67" i="9" s="1"/>
  <c r="M29" i="9"/>
  <c r="M42" i="9"/>
  <c r="S42" i="9" s="1"/>
  <c r="S19" i="9"/>
  <c r="O39" i="9"/>
  <c r="O38" i="9"/>
  <c r="O61" i="9"/>
  <c r="E36" i="9"/>
  <c r="E71" i="9"/>
  <c r="I71" i="9" s="1"/>
  <c r="K71" i="9" s="1"/>
  <c r="O29" i="9"/>
  <c r="O22" i="9"/>
  <c r="E21" i="9"/>
  <c r="E20" i="9"/>
  <c r="E43" i="9"/>
  <c r="I43" i="9" s="1"/>
  <c r="K43" i="9" s="1"/>
  <c r="O64" i="9"/>
  <c r="Q37" i="9"/>
  <c r="Q12" i="9"/>
  <c r="Q23" i="9"/>
  <c r="Q10" i="9"/>
  <c r="G38" i="9"/>
  <c r="G54" i="9"/>
  <c r="G29" i="9"/>
  <c r="G52" i="9"/>
  <c r="G73" i="9"/>
  <c r="Q69" i="9"/>
  <c r="S69" i="9" s="1"/>
  <c r="M63" i="9"/>
  <c r="S63" i="9" s="1"/>
  <c r="M62" i="9"/>
  <c r="C25" i="9"/>
  <c r="I25" i="9" s="1"/>
  <c r="K25" i="9" s="1"/>
  <c r="C72" i="9"/>
  <c r="I72" i="9" s="1"/>
  <c r="K72" i="9" s="1"/>
  <c r="M28" i="9"/>
  <c r="S28" i="9" s="1"/>
  <c r="M11" i="9"/>
  <c r="S11" i="9" s="1"/>
  <c r="M58" i="9"/>
  <c r="M9" i="9"/>
  <c r="S9" i="9" s="1"/>
  <c r="M80" i="9"/>
  <c r="S80" i="9" s="1"/>
  <c r="C55" i="9"/>
  <c r="C52" i="9"/>
  <c r="I52" i="9" s="1"/>
  <c r="K52" i="9" s="1"/>
  <c r="S18" i="9"/>
  <c r="F10" i="24"/>
  <c r="E10" i="24"/>
  <c r="D10" i="24"/>
  <c r="A1" i="24"/>
  <c r="S58" i="9" l="1"/>
  <c r="I10" i="9"/>
  <c r="K10" i="9" s="1"/>
  <c r="I34" i="9"/>
  <c r="K34" i="9" s="1"/>
  <c r="I59" i="9"/>
  <c r="K59" i="9" s="1"/>
  <c r="I62" i="9"/>
  <c r="K62" i="9" s="1"/>
  <c r="I68" i="9"/>
  <c r="K68" i="9" s="1"/>
  <c r="I49" i="9"/>
  <c r="K49" i="9" s="1"/>
  <c r="I35" i="9"/>
  <c r="K35" i="9" s="1"/>
  <c r="S78" i="9"/>
  <c r="I28" i="9"/>
  <c r="K28" i="9" s="1"/>
  <c r="S43" i="9"/>
  <c r="I30" i="9"/>
  <c r="K30" i="9" s="1"/>
  <c r="S67" i="9"/>
  <c r="S17" i="9"/>
  <c r="S37" i="9"/>
  <c r="S44" i="9"/>
  <c r="I31" i="9"/>
  <c r="K31" i="9" s="1"/>
  <c r="S35" i="9"/>
  <c r="S77" i="9"/>
  <c r="I24" i="9"/>
  <c r="K24" i="9" s="1"/>
  <c r="S45" i="9"/>
  <c r="S56" i="9"/>
  <c r="S74" i="9"/>
  <c r="S62" i="9"/>
  <c r="S75" i="9"/>
  <c r="S24" i="9"/>
  <c r="I63" i="9"/>
  <c r="K63" i="9" s="1"/>
  <c r="I74" i="9"/>
  <c r="K74" i="9" s="1"/>
  <c r="S49" i="9"/>
  <c r="S22" i="9"/>
  <c r="S57" i="9"/>
  <c r="I75" i="9"/>
  <c r="K75" i="9" s="1"/>
  <c r="S14" i="9"/>
  <c r="S64" i="9"/>
  <c r="S34" i="9"/>
  <c r="S29" i="9"/>
  <c r="S55" i="9"/>
  <c r="I47" i="9"/>
  <c r="K47" i="9" s="1"/>
  <c r="I76" i="9"/>
  <c r="K76" i="9" s="1"/>
  <c r="I36" i="9"/>
  <c r="K36" i="9" s="1"/>
  <c r="I20" i="9"/>
  <c r="K20" i="9" s="1"/>
  <c r="I69" i="9"/>
  <c r="K69" i="9" s="1"/>
  <c r="I80" i="9"/>
  <c r="K80" i="9" s="1"/>
  <c r="S20" i="9"/>
  <c r="I54" i="9"/>
  <c r="K54" i="9" s="1"/>
  <c r="S61" i="9"/>
  <c r="I48" i="9"/>
  <c r="K48" i="9" s="1"/>
  <c r="I21" i="9"/>
  <c r="K21" i="9" s="1"/>
  <c r="I9" i="9"/>
  <c r="K9" i="9" s="1"/>
  <c r="S21" i="9"/>
  <c r="S79" i="9"/>
  <c r="S26" i="9"/>
  <c r="S73" i="9"/>
  <c r="I41" i="9"/>
  <c r="K41" i="9" s="1"/>
  <c r="S71" i="9"/>
  <c r="I77" i="9"/>
  <c r="K77" i="9" s="1"/>
  <c r="S32" i="9"/>
  <c r="S38" i="9"/>
  <c r="I29" i="9"/>
  <c r="K29" i="9" s="1"/>
  <c r="S60" i="9"/>
  <c r="I11" i="9"/>
  <c r="K11" i="9" s="1"/>
  <c r="I70" i="9"/>
  <c r="K70" i="9" s="1"/>
  <c r="S33" i="9"/>
  <c r="S41" i="9"/>
  <c r="S39" i="9"/>
  <c r="I55" i="9"/>
  <c r="K55" i="9" s="1"/>
  <c r="S23" i="9"/>
  <c r="S12" i="9"/>
  <c r="I32" i="9"/>
  <c r="K32" i="9" s="1"/>
  <c r="I73" i="9"/>
  <c r="K73" i="9" s="1"/>
  <c r="I23" i="9"/>
  <c r="K23" i="9" s="1"/>
  <c r="S10" i="9"/>
  <c r="I66" i="9"/>
  <c r="K66" i="9" s="1"/>
  <c r="S40" i="9"/>
  <c r="I33" i="9"/>
  <c r="K33" i="9" s="1"/>
  <c r="I38" i="9"/>
  <c r="K38" i="9" s="1"/>
  <c r="I64" i="9"/>
  <c r="K64" i="9" s="1"/>
  <c r="S16" i="9"/>
  <c r="I19" i="9"/>
  <c r="K19" i="9" s="1"/>
  <c r="I78" i="9"/>
  <c r="K78" i="9" s="1"/>
  <c r="O81" i="9"/>
  <c r="M81" i="9"/>
  <c r="G81" i="9"/>
  <c r="C81" i="9"/>
  <c r="Q81" i="9"/>
  <c r="E81" i="9"/>
  <c r="M10" i="11"/>
  <c r="E9" i="13"/>
  <c r="F10" i="8"/>
  <c r="J10" i="8" s="1"/>
  <c r="M12" i="18"/>
  <c r="Q9" i="17"/>
  <c r="O9" i="17"/>
  <c r="I9" i="17"/>
  <c r="S81" i="9" l="1"/>
  <c r="F8" i="8" s="1"/>
  <c r="K81" i="9"/>
  <c r="I81" i="9"/>
  <c r="E8" i="13"/>
  <c r="L10" i="8"/>
  <c r="M10" i="8"/>
  <c r="I8" i="13"/>
  <c r="I10" i="13"/>
  <c r="E10" i="13"/>
  <c r="I9" i="13"/>
  <c r="K9" i="17"/>
  <c r="C10" i="11"/>
  <c r="E10" i="11"/>
  <c r="Q9" i="11"/>
  <c r="G10" i="11"/>
  <c r="E12" i="13" l="1"/>
  <c r="J8" i="8"/>
  <c r="L8" i="8"/>
  <c r="M8" i="8"/>
  <c r="Q10" i="11"/>
  <c r="F9" i="8" s="1"/>
  <c r="J9" i="8" s="1"/>
  <c r="I10" i="11"/>
  <c r="I12" i="13"/>
  <c r="J12" i="8" l="1"/>
  <c r="F12" i="8"/>
  <c r="L9" i="8"/>
  <c r="L12" i="8" s="1"/>
  <c r="L14" i="8" s="1"/>
  <c r="M9" i="8"/>
  <c r="M12" i="8" s="1"/>
  <c r="U20" i="9" l="1"/>
  <c r="U32" i="9"/>
  <c r="U44" i="9"/>
  <c r="U56" i="9"/>
  <c r="U68" i="9"/>
  <c r="U80" i="9"/>
  <c r="U21" i="9"/>
  <c r="U33" i="9"/>
  <c r="U45" i="9"/>
  <c r="U57" i="9"/>
  <c r="U69" i="9"/>
  <c r="U9" i="9"/>
  <c r="U30" i="9"/>
  <c r="U10" i="9"/>
  <c r="U22" i="9"/>
  <c r="U34" i="9"/>
  <c r="U46" i="9"/>
  <c r="U58" i="9"/>
  <c r="U70" i="9"/>
  <c r="U42" i="9"/>
  <c r="U67" i="9"/>
  <c r="U11" i="9"/>
  <c r="U23" i="9"/>
  <c r="U35" i="9"/>
  <c r="U47" i="9"/>
  <c r="U59" i="9"/>
  <c r="U71" i="9"/>
  <c r="U18" i="9"/>
  <c r="U12" i="9"/>
  <c r="U24" i="9"/>
  <c r="U36" i="9"/>
  <c r="U48" i="9"/>
  <c r="U60" i="9"/>
  <c r="U72" i="9"/>
  <c r="U55" i="9"/>
  <c r="U13" i="9"/>
  <c r="U25" i="9"/>
  <c r="U37" i="9"/>
  <c r="U49" i="9"/>
  <c r="U61" i="9"/>
  <c r="U73" i="9"/>
  <c r="U66" i="9"/>
  <c r="U31" i="9"/>
  <c r="U14" i="9"/>
  <c r="U26" i="9"/>
  <c r="U38" i="9"/>
  <c r="U50" i="9"/>
  <c r="U62" i="9"/>
  <c r="U74" i="9"/>
  <c r="U19" i="9"/>
  <c r="U15" i="9"/>
  <c r="U27" i="9"/>
  <c r="U39" i="9"/>
  <c r="U51" i="9"/>
  <c r="U63" i="9"/>
  <c r="U75" i="9"/>
  <c r="U78" i="9"/>
  <c r="U43" i="9"/>
  <c r="U16" i="9"/>
  <c r="U28" i="9"/>
  <c r="U40" i="9"/>
  <c r="U52" i="9"/>
  <c r="U64" i="9"/>
  <c r="U76" i="9"/>
  <c r="U79" i="9"/>
  <c r="U17" i="9"/>
  <c r="U29" i="9"/>
  <c r="U41" i="9"/>
  <c r="U53" i="9"/>
  <c r="U65" i="9"/>
  <c r="U77" i="9"/>
  <c r="U54" i="9"/>
  <c r="H8" i="8"/>
  <c r="M15" i="8"/>
  <c r="U81" i="9" l="1"/>
  <c r="H11" i="8"/>
  <c r="H10" i="8"/>
  <c r="H9" i="8"/>
  <c r="H12" i="8" l="1"/>
</calcChain>
</file>

<file path=xl/sharedStrings.xml><?xml version="1.0" encoding="utf-8"?>
<sst xmlns="http://schemas.openxmlformats.org/spreadsheetml/2006/main" count="607" uniqueCount="223">
  <si>
    <t>صورت وضعیت پرتفوی</t>
  </si>
  <si>
    <t>تغییرات طی دوره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</si>
  <si>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</si>
  <si>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</si>
  <si>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</si>
  <si>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</si>
  <si>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</si>
  <si>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</si>
  <si>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</si>
  <si>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</si>
  <si>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</si>
  <si>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پتروشیمی پارس</t>
  </si>
  <si>
    <t>پتروشیمی پردیس</t>
  </si>
  <si>
    <t>پتروشیمی تندگویان</t>
  </si>
  <si>
    <t>پتروشیمی فناوران</t>
  </si>
  <si>
    <t>پتروشیمی نوری</t>
  </si>
  <si>
    <t>پتروشیمی‌ خارک‌</t>
  </si>
  <si>
    <t>پتروشیمی‌شیراز</t>
  </si>
  <si>
    <t>پلیمر آریا ساسول</t>
  </si>
  <si>
    <t>تولیدات پتروشیمی قائد بصیر</t>
  </si>
  <si>
    <t>تولیدی و صنعتی گوهرفام</t>
  </si>
  <si>
    <t>توکا رنگ فولاد سپاهان</t>
  </si>
  <si>
    <t>دوده‌ صنعتی‌ پارس‌</t>
  </si>
  <si>
    <t>س. نفت و گاز و پتروشیمی تأمین</t>
  </si>
  <si>
    <t>سرمایه‌گذاری صنایع پتروشیمی‌</t>
  </si>
  <si>
    <t>صنایع پتروشیمی خلیج فارس</t>
  </si>
  <si>
    <t>صنایع شیمیایی کیمیاگران امروز</t>
  </si>
  <si>
    <t>گ.س.وت.ص.پتروشیمی خلیج فارس</t>
  </si>
  <si>
    <t>گسترش نفت و گاز پارسیان</t>
  </si>
  <si>
    <t>گلتاش‌</t>
  </si>
  <si>
    <t>مدیریت صنعت شوینده ت.ص.بهشهر</t>
  </si>
  <si>
    <t>معدنی‌ املاح‌  ایران‌</t>
  </si>
  <si>
    <t>ملی شیمی کشاورز</t>
  </si>
  <si>
    <t>نیروکلر</t>
  </si>
  <si>
    <t>کربن‌ ایران‌</t>
  </si>
  <si>
    <t>کلر پارس</t>
  </si>
  <si>
    <t>جمع</t>
  </si>
  <si>
    <t>نام سهام</t>
  </si>
  <si>
    <t>قیمت اعمال</t>
  </si>
  <si>
    <t>تاریخ اعمال</t>
  </si>
  <si>
    <t>نرخ سود موثر</t>
  </si>
  <si>
    <t>تعداد اوراق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</si>
  <si>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</si>
  <si>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</si>
  <si>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</si>
  <si>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</si>
  <si>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</si>
  <si>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</si>
  <si>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</si>
  <si>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صکوک مرابحه اندیمشک07-6ماهه23%</t>
  </si>
  <si>
    <t>بله</t>
  </si>
  <si>
    <t>1402/10/06</t>
  </si>
  <si>
    <t>1407/10/06</t>
  </si>
  <si>
    <t>سپرده های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</si>
  <si>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</si>
  <si>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</si>
  <si>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</si>
  <si>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</si>
  <si>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</si>
  <si>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</si>
  <si>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</si>
  <si>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</si>
  <si>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</si>
  <si>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</si>
  <si>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</si>
  <si>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</si>
  <si>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</si>
  <si>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</si>
  <si>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</si>
  <si>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</si>
  <si>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</si>
  <si>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</si>
  <si>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</si>
  <si>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</si>
  <si>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</si>
  <si>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</si>
  <si>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</si>
  <si>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</si>
  <si>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پتروشیمی جم</t>
  </si>
  <si>
    <t>عنوان</t>
  </si>
  <si>
    <t>درآمد سود اوراق</t>
  </si>
  <si>
    <t>مبلغ شناسایی شده بابت قرارداد خرید و نگهداری اوراق بهادار</t>
  </si>
  <si>
    <t>طرف معامله</t>
  </si>
  <si>
    <t>نوع وابستگی</t>
  </si>
  <si>
    <t>نام ورقه بهادار</t>
  </si>
  <si>
    <t>بهای تمام شده اوراق</t>
  </si>
  <si>
    <t>مدیر صندوق</t>
  </si>
  <si>
    <t>نام سپرده بانکی</t>
  </si>
  <si>
    <t>سود سپرده بانکی و گواهی سپرده</t>
  </si>
  <si>
    <t>درصد سود به میانگین سپرده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</si>
  <si>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</si>
  <si>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</si>
  <si>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</si>
  <si>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</si>
  <si>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</si>
  <si>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</si>
  <si>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</si>
  <si>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</si>
  <si>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سود اوراق بهادار با درآمد ثابت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</si>
  <si>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</si>
  <si>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</si>
  <si>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</si>
  <si>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</si>
  <si>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</si>
  <si>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</si>
  <si>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</si>
  <si>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</si>
  <si>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</si>
  <si>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اختیار</t>
  </si>
  <si>
    <t>کارمزد اعمال</t>
  </si>
  <si>
    <t>مالیات اعمال</t>
  </si>
  <si>
    <t>سود(زیان)اعمال</t>
  </si>
  <si>
    <t>درآمد ناشی از تغییر قیمت اوراق بهادار</t>
  </si>
  <si>
    <t>سود و زیان ناشی از تغییر قیمت</t>
  </si>
  <si>
    <t>1-سرمایه گذاری ها</t>
  </si>
  <si>
    <t>1-1-سرمایه گذاری در سهام و حق تقدم سهام</t>
  </si>
  <si>
    <t>.</t>
  </si>
  <si>
    <t>در اجرای ابلاغیه شماره 12020093 مورخ 1396/09/05 سازمان بورس اوراق بهادار</t>
  </si>
  <si>
    <t>گزارش افشا پرتفوی ماهانه</t>
  </si>
  <si>
    <t>1-2-سرمایه‌گذاری در اوراق بهادار با درآمد ثابت یا علی‌الحساب</t>
  </si>
  <si>
    <t>1-3-سرمایه‌گذاری در  سپرده‌ بانکی</t>
  </si>
  <si>
    <t>سپرده کوتاه مدت بانک پاسارگاد</t>
  </si>
  <si>
    <t>سپرده کوتاه مدت بانک صادرات</t>
  </si>
  <si>
    <t>سپرده کوتاه مدت بانک سینا</t>
  </si>
  <si>
    <t>1-2-درآمد حاصل از سرمایه­گذاری در سهام و حق تقدم سهام</t>
  </si>
  <si>
    <t>2-2-درآمد حاصل از سرمایه­گذاری در اوراق بهادار با درآمد ثابت:</t>
  </si>
  <si>
    <t>3-2-درآمد حاصل از سرمایه­گذاری در سپرده بانکی و گواهی سپرده</t>
  </si>
  <si>
    <t>4-2-سایر درآمدها</t>
  </si>
  <si>
    <t>تأمین سرمایه دماوند</t>
  </si>
  <si>
    <t>میانگین نرخ بازده تا سررسید قراردادهای منعقده(درصد)</t>
  </si>
  <si>
    <t>نرخ اسمی(درصد)</t>
  </si>
  <si>
    <t>جزئیات قراردادهای خرید و نگهداری اوراق بهادار با درآمد ثابت</t>
  </si>
  <si>
    <t xml:space="preserve">صکوک مرابحه اندیمشک07-6ماهه23% </t>
  </si>
  <si>
    <t>33</t>
  </si>
  <si>
    <t xml:space="preserve"> </t>
  </si>
  <si>
    <t>پتروشیمی مارون</t>
  </si>
  <si>
    <t>سپرده بانک پاسارگاد</t>
  </si>
  <si>
    <t>سپرده بانک پاسارگاد بانکداری دیجیتال</t>
  </si>
  <si>
    <t>نوع موقعیت</t>
  </si>
  <si>
    <t>1404/12/13</t>
  </si>
  <si>
    <t>-</t>
  </si>
  <si>
    <t>موقعیت فروش</t>
  </si>
  <si>
    <t>اختیار خرید</t>
  </si>
  <si>
    <t>اختیارخ فارس-10000-1404/12/13</t>
  </si>
  <si>
    <t>استراتژی ماخوذه</t>
  </si>
  <si>
    <t>نوع اختیار</t>
  </si>
  <si>
    <t>پتروشیمی اروند</t>
  </si>
  <si>
    <t>پتروشیمی امیرکبیر</t>
  </si>
  <si>
    <t>پتروشیمی جم پیلن</t>
  </si>
  <si>
    <t>کارخانجات تولیدی نیروترانسفو</t>
  </si>
  <si>
    <t>پتروشیمی شازند</t>
  </si>
  <si>
    <t>اطلاعات آماری مرتبط با موقعیت های اخذ شده در اوراق اختیار معامله توسط صندوق سرمایه گذاری:</t>
  </si>
  <si>
    <t>1405/01/30</t>
  </si>
  <si>
    <t>1405/02/27</t>
  </si>
  <si>
    <t>1405/01/24</t>
  </si>
  <si>
    <t>صندوق سرمایه‌گذاری بخشی افق دماوند</t>
  </si>
  <si>
    <t>صندوق سرمایه‌گذاری افق دماوند</t>
  </si>
  <si>
    <t>1405/04/31</t>
  </si>
  <si>
    <t>بانک خاورمیانه</t>
  </si>
  <si>
    <t>بانک صادرات ایران</t>
  </si>
  <si>
    <t>بورس کالای ایران</t>
  </si>
  <si>
    <t>پالایش نفت اصفهان</t>
  </si>
  <si>
    <t>پالایش نفت بندرعباس</t>
  </si>
  <si>
    <t>سرمایه‌ گذاری‌ البرز(هلدینگ‌</t>
  </si>
  <si>
    <t>سیمان ساوه</t>
  </si>
  <si>
    <t>سیمان‌شاهرود</t>
  </si>
  <si>
    <t>لابراتوارداروسازی‌  دکترعبیدی‌</t>
  </si>
  <si>
    <t>ملی‌ صنایع‌ مس‌ ایران‌</t>
  </si>
  <si>
    <t>کولان سل</t>
  </si>
  <si>
    <t>سیمان‌ خزر</t>
  </si>
  <si>
    <t>سیمان‌هگمتان‌</t>
  </si>
  <si>
    <t>سیمان‌غرب‌</t>
  </si>
  <si>
    <t>شیرپاستوریزه‌پگاه‌اصفهان‌</t>
  </si>
  <si>
    <t>اختیارخ شپنا-6500-1405/04/17</t>
  </si>
  <si>
    <t>اختیارخ شپنا-6000-1405/04/17</t>
  </si>
  <si>
    <t>اختیارخ وبصادر-600-1405/05/20</t>
  </si>
  <si>
    <t>اختیارخ وبصادر-550-1405/05/20</t>
  </si>
  <si>
    <t>اختیارخ فملی-18000-1405/05/14</t>
  </si>
  <si>
    <t>1405/04/17</t>
  </si>
  <si>
    <t>1405/05/20</t>
  </si>
  <si>
    <t>1405/05/14</t>
  </si>
  <si>
    <t>اختیارخ وبصادر-600-1405/03/20</t>
  </si>
  <si>
    <t>1405/03/27</t>
  </si>
  <si>
    <t>1405/03/16</t>
  </si>
  <si>
    <t>1405/04/30</t>
  </si>
  <si>
    <t>1405/03/24</t>
  </si>
  <si>
    <t>1405/04/25</t>
  </si>
  <si>
    <t>1405/04/21</t>
  </si>
  <si>
    <t>1405/04/07</t>
  </si>
  <si>
    <t>1405/03/03</t>
  </si>
  <si>
    <t>1405/04/24</t>
  </si>
  <si>
    <t>1405/03/17</t>
  </si>
  <si>
    <t>1405/04/10</t>
  </si>
  <si>
    <t>اختیارخ شستا-2000-1405/04/10</t>
  </si>
  <si>
    <t>1405/03/20</t>
  </si>
  <si>
    <t>‫دوره یک ماهه منتهی 31 مرداد 1405</t>
  </si>
  <si>
    <t>برای ماه منتهی به 1405/05/31</t>
  </si>
  <si>
    <t>1405/05/31</t>
  </si>
  <si>
    <t>شرکت آهن و فولاد ارفع</t>
  </si>
  <si>
    <t>آکو باتری ایرانیان</t>
  </si>
  <si>
    <t>اختیارخ شپنا-9000-1405/06/18</t>
  </si>
  <si>
    <t>سرمایه گذاری تامین اجتماعی</t>
  </si>
  <si>
    <t>شمش طلا GoldBar</t>
  </si>
  <si>
    <t>اختیارف وبملت-1200-1405/06/18</t>
  </si>
  <si>
    <t>اختیارف شپنا-10000-1405/06/18</t>
  </si>
  <si>
    <t>اختیارف شستا-2400-1405/06/11</t>
  </si>
  <si>
    <t>سیم و کابل ابهر</t>
  </si>
  <si>
    <t>پدیده شیمی قرن</t>
  </si>
  <si>
    <t>بانک ملت</t>
  </si>
  <si>
    <t>اختیارخ شستا-2200-1405/06/11</t>
  </si>
  <si>
    <t>ح . گلتاش‌</t>
  </si>
  <si>
    <t>اختیارخ فملی-22000-1405/05/14</t>
  </si>
  <si>
    <t>شرکت خمیرمایه رضوی</t>
  </si>
  <si>
    <t>بین‌ المللی‌ محصولات‌  پارس‌</t>
  </si>
  <si>
    <t>سرمایه گذاری شفادارو</t>
  </si>
  <si>
    <t>1405/06/18</t>
  </si>
  <si>
    <t>موقعیت خرید</t>
  </si>
  <si>
    <t>اختیار فروش</t>
  </si>
  <si>
    <t>1405/06/11</t>
  </si>
  <si>
    <t xml:space="preserve">سپرده کوتاه مدت بانک گردشگری </t>
  </si>
  <si>
    <t>سپرده کوتاه مدت بانک گردشگری</t>
  </si>
  <si>
    <t>1405/05/18</t>
  </si>
  <si>
    <t>تعداد اوراق(طبق قرارداد)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</si>
</sst>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_-;\(#,##0\)"/>
    <numFmt numFmtId="166" formatCode="_(* #,##0_);_(* \(#,##0\);_(* &quot;-&quot;??_);_(@_)"/>
    <numFmt numFmtId="167" formatCode="#,##0.000_);\(#,##0.000\)"/>
  </numFmts>
  <fonts count="23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name val="Calibri"/>
      <family val="2"/>
    </font>
    <font>
      <sz val="12"/>
      <color indexed="8"/>
      <name val="B Nazanin"/>
      <charset val="178"/>
    </font>
    <font>
      <sz val="14"/>
      <color indexed="8"/>
      <name val="B Nazanin"/>
      <charset val="178"/>
    </font>
    <font>
      <sz val="18"/>
      <color indexed="8"/>
      <name val="B Nazanin"/>
      <charset val="178"/>
    </font>
    <font>
      <u/>
      <sz val="14"/>
      <color indexed="8"/>
      <name val="B Nazanin"/>
      <charset val="178"/>
    </font>
    <font>
      <b/>
      <u/>
      <sz val="14"/>
      <color indexed="8"/>
      <name val="B Nazanin"/>
      <charset val="178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B Nazanin"/>
      <charset val="178"/>
    </font>
    <font>
      <sz val="11"/>
      <color indexed="8"/>
      <name val="Calibri"/>
      <family val="2"/>
      <scheme val="minor"/>
    </font>
    <font>
      <sz val="11"/>
      <color indexed="8"/>
      <name val="B Nazanin"/>
      <charset val="178"/>
    </font>
    <font>
      <sz val="11"/>
      <color theme="1"/>
      <name val="B Nazanin"/>
      <charset val="178"/>
    </font>
    <font>
      <b/>
      <sz val="10"/>
      <color theme="1"/>
      <name val="B Zar"/>
      <charset val="178"/>
    </font>
    <font>
      <b/>
      <sz val="12"/>
      <name val="B Nazanin"/>
      <charset val="178"/>
    </font>
    <font>
      <sz val="10"/>
      <color rgb="FF000000"/>
      <name val="Arial"/>
      <family val="2"/>
    </font>
    <font>
      <sz val="12"/>
      <color rgb="FF000000"/>
      <name val="Arial"/>
      <family val="2"/>
      <charset val="178"/>
    </font>
    <font>
      <b/>
      <sz val="18"/>
      <name val="B Nazanin"/>
      <charset val="178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0" fontId="12" fillId="0" borderId="0"/>
    <xf numFmtId="164" fontId="12" fillId="0" borderId="0" applyFont="0" applyFill="0" applyBorder="0" applyAlignment="0" applyProtection="0"/>
    <xf numFmtId="0" fontId="14" fillId="0" borderId="0"/>
    <xf numFmtId="0" fontId="11" fillId="0" borderId="0"/>
    <xf numFmtId="164" fontId="19" fillId="0" borderId="0" applyFont="0" applyFill="0" applyBorder="0" applyAlignment="0" applyProtection="0"/>
  </cellStyleXfs>
  <cellXfs count="140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3" fontId="4" fillId="0" borderId="5" xfId="0" applyNumberFormat="1" applyFont="1" applyBorder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2" xfId="0" applyFont="1" applyBorder="1" applyAlignment="1">
      <alignment vertical="top"/>
    </xf>
    <xf numFmtId="0" fontId="3" fillId="0" borderId="4" xfId="0" applyFont="1" applyBorder="1" applyAlignment="1">
      <alignment vertical="center"/>
    </xf>
    <xf numFmtId="0" fontId="6" fillId="0" borderId="0" xfId="1" applyFont="1"/>
    <xf numFmtId="0" fontId="7" fillId="0" borderId="0" xfId="1" applyFont="1" applyAlignment="1">
      <alignment vertical="center"/>
    </xf>
    <xf numFmtId="0" fontId="9" fillId="0" borderId="0" xfId="1" applyFont="1"/>
    <xf numFmtId="0" fontId="10" fillId="0" borderId="0" xfId="1" applyFont="1"/>
    <xf numFmtId="3" fontId="4" fillId="0" borderId="0" xfId="0" applyNumberFormat="1" applyFont="1" applyAlignment="1">
      <alignment horizontal="center" vertical="top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37" fontId="0" fillId="0" borderId="0" xfId="0" applyNumberFormat="1" applyAlignment="1">
      <alignment horizontal="center"/>
    </xf>
    <xf numFmtId="37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readingOrder="2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3" fontId="0" fillId="0" borderId="0" xfId="0" applyNumberFormat="1" applyAlignment="1">
      <alignment horizontal="left"/>
    </xf>
    <xf numFmtId="0" fontId="2" fillId="0" borderId="0" xfId="0" applyFont="1" applyAlignment="1">
      <alignment horizontal="center" vertical="center" readingOrder="2"/>
    </xf>
    <xf numFmtId="0" fontId="3" fillId="0" borderId="4" xfId="0" applyFont="1" applyBorder="1" applyAlignment="1">
      <alignment horizontal="center" vertical="center"/>
    </xf>
    <xf numFmtId="37" fontId="4" fillId="0" borderId="0" xfId="0" applyNumberFormat="1" applyFont="1" applyAlignment="1">
      <alignment horizontal="center"/>
    </xf>
    <xf numFmtId="37" fontId="4" fillId="0" borderId="5" xfId="0" applyNumberFormat="1" applyFont="1" applyBorder="1" applyAlignment="1">
      <alignment horizontal="center" vertical="center"/>
    </xf>
    <xf numFmtId="37" fontId="0" fillId="0" borderId="0" xfId="0" applyNumberFormat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37" fontId="0" fillId="0" borderId="0" xfId="0" applyNumberFormat="1" applyAlignment="1">
      <alignment horizontal="left"/>
    </xf>
    <xf numFmtId="37" fontId="4" fillId="0" borderId="2" xfId="0" applyNumberFormat="1" applyFont="1" applyBorder="1" applyAlignment="1">
      <alignment horizontal="center" vertical="center"/>
    </xf>
    <xf numFmtId="37" fontId="4" fillId="0" borderId="0" xfId="0" applyNumberFormat="1" applyFont="1" applyAlignment="1">
      <alignment horizontal="center" vertical="center"/>
    </xf>
    <xf numFmtId="37" fontId="4" fillId="0" borderId="4" xfId="0" applyNumberFormat="1" applyFont="1" applyBorder="1" applyAlignment="1">
      <alignment horizontal="center" vertical="center"/>
    </xf>
    <xf numFmtId="37" fontId="4" fillId="0" borderId="6" xfId="0" applyNumberFormat="1" applyFont="1" applyBorder="1" applyAlignment="1">
      <alignment horizontal="center" vertical="center"/>
    </xf>
    <xf numFmtId="0" fontId="12" fillId="0" borderId="0" xfId="2"/>
    <xf numFmtId="0" fontId="12" fillId="0" borderId="0" xfId="2" applyAlignment="1">
      <alignment horizontal="center" vertical="center"/>
    </xf>
    <xf numFmtId="37" fontId="13" fillId="0" borderId="0" xfId="3" applyNumberFormat="1" applyFont="1" applyFill="1" applyBorder="1" applyAlignment="1">
      <alignment horizontal="center" vertical="center" shrinkToFit="1"/>
    </xf>
    <xf numFmtId="37" fontId="15" fillId="0" borderId="0" xfId="4" applyNumberFormat="1" applyFont="1" applyAlignment="1">
      <alignment horizontal="center" vertical="center" wrapText="1"/>
    </xf>
    <xf numFmtId="37" fontId="16" fillId="0" borderId="8" xfId="3" applyNumberFormat="1" applyFont="1" applyFill="1" applyBorder="1" applyAlignment="1">
      <alignment horizontal="center" vertical="center" shrinkToFit="1"/>
    </xf>
    <xf numFmtId="37" fontId="16" fillId="0" borderId="6" xfId="3" applyNumberFormat="1" applyFont="1" applyFill="1" applyBorder="1" applyAlignment="1">
      <alignment horizontal="center" vertical="center" shrinkToFit="1"/>
    </xf>
    <xf numFmtId="0" fontId="14" fillId="0" borderId="0" xfId="4"/>
    <xf numFmtId="49" fontId="15" fillId="0" borderId="9" xfId="4" applyNumberFormat="1" applyFont="1" applyBorder="1" applyAlignment="1">
      <alignment horizontal="center" vertical="center" wrapText="1"/>
    </xf>
    <xf numFmtId="37" fontId="15" fillId="0" borderId="9" xfId="4" applyNumberFormat="1" applyFont="1" applyBorder="1" applyAlignment="1">
      <alignment horizontal="center" vertical="center" wrapText="1"/>
    </xf>
    <xf numFmtId="0" fontId="15" fillId="0" borderId="9" xfId="4" applyFont="1" applyBorder="1" applyAlignment="1">
      <alignment horizontal="center" vertical="center" wrapText="1"/>
    </xf>
    <xf numFmtId="0" fontId="17" fillId="2" borderId="10" xfId="4" applyFont="1" applyFill="1" applyBorder="1" applyAlignment="1">
      <alignment horizontal="center" vertical="center" wrapText="1"/>
    </xf>
    <xf numFmtId="0" fontId="17" fillId="2" borderId="10" xfId="4" applyFont="1" applyFill="1" applyBorder="1" applyAlignment="1">
      <alignment horizontal="center" vertical="center"/>
    </xf>
    <xf numFmtId="0" fontId="17" fillId="2" borderId="11" xfId="4" applyFont="1" applyFill="1" applyBorder="1" applyAlignment="1">
      <alignment horizontal="center" vertical="center"/>
    </xf>
    <xf numFmtId="0" fontId="1" fillId="0" borderId="0" xfId="5" applyFont="1" applyAlignment="1">
      <alignment vertical="center"/>
    </xf>
    <xf numFmtId="3" fontId="0" fillId="0" borderId="0" xfId="0" applyNumberFormat="1" applyAlignment="1">
      <alignment horizontal="center"/>
    </xf>
    <xf numFmtId="166" fontId="0" fillId="0" borderId="0" xfId="6" applyNumberFormat="1" applyFont="1" applyAlignment="1">
      <alignment horizontal="left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/>
    </xf>
    <xf numFmtId="3" fontId="4" fillId="0" borderId="6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37" fontId="4" fillId="0" borderId="2" xfId="0" applyNumberFormat="1" applyFont="1" applyBorder="1" applyAlignment="1">
      <alignment horizontal="right" vertical="center"/>
    </xf>
    <xf numFmtId="37" fontId="4" fillId="0" borderId="0" xfId="0" applyNumberFormat="1" applyFont="1" applyAlignment="1">
      <alignment horizontal="right" vertical="center"/>
    </xf>
    <xf numFmtId="37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39" fontId="4" fillId="0" borderId="0" xfId="0" applyNumberFormat="1" applyFont="1" applyAlignment="1">
      <alignment horizontal="right" vertical="center"/>
    </xf>
    <xf numFmtId="37" fontId="4" fillId="0" borderId="4" xfId="0" applyNumberFormat="1" applyFont="1" applyBorder="1" applyAlignment="1">
      <alignment horizontal="right" vertical="center"/>
    </xf>
    <xf numFmtId="37" fontId="4" fillId="0" borderId="0" xfId="0" applyNumberFormat="1" applyFont="1" applyAlignment="1">
      <alignment horizontal="right" vertical="top"/>
    </xf>
    <xf numFmtId="37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167" fontId="0" fillId="0" borderId="0" xfId="0" applyNumberFormat="1" applyAlignment="1">
      <alignment horizontal="center"/>
    </xf>
    <xf numFmtId="4" fontId="4" fillId="0" borderId="0" xfId="0" applyNumberFormat="1" applyFont="1" applyAlignment="1">
      <alignment horizontal="right" vertical="center"/>
    </xf>
    <xf numFmtId="39" fontId="0" fillId="0" borderId="0" xfId="0" applyNumberFormat="1" applyAlignment="1">
      <alignment horizontal="right" vertical="center"/>
    </xf>
    <xf numFmtId="37" fontId="4" fillId="0" borderId="5" xfId="0" applyNumberFormat="1" applyFont="1" applyBorder="1" applyAlignment="1">
      <alignment horizontal="right" vertical="center"/>
    </xf>
    <xf numFmtId="39" fontId="4" fillId="0" borderId="5" xfId="0" applyNumberFormat="1" applyFont="1" applyBorder="1" applyAlignment="1">
      <alignment horizontal="right" vertical="center"/>
    </xf>
    <xf numFmtId="4" fontId="4" fillId="0" borderId="5" xfId="0" applyNumberFormat="1" applyFont="1" applyBorder="1" applyAlignment="1">
      <alignment horizontal="right" vertical="center"/>
    </xf>
    <xf numFmtId="37" fontId="4" fillId="0" borderId="6" xfId="0" applyNumberFormat="1" applyFont="1" applyBorder="1" applyAlignment="1">
      <alignment horizontal="center"/>
    </xf>
    <xf numFmtId="39" fontId="4" fillId="0" borderId="0" xfId="0" applyNumberFormat="1" applyFont="1" applyAlignment="1">
      <alignment horizontal="center"/>
    </xf>
    <xf numFmtId="39" fontId="4" fillId="0" borderId="6" xfId="0" applyNumberFormat="1" applyFont="1" applyBorder="1" applyAlignment="1">
      <alignment horizontal="center"/>
    </xf>
    <xf numFmtId="38" fontId="4" fillId="0" borderId="2" xfId="0" applyNumberFormat="1" applyFont="1" applyBorder="1" applyAlignment="1">
      <alignment vertical="top"/>
    </xf>
    <xf numFmtId="38" fontId="0" fillId="0" borderId="0" xfId="0" applyNumberFormat="1" applyAlignment="1">
      <alignment horizontal="center"/>
    </xf>
    <xf numFmtId="38" fontId="4" fillId="0" borderId="2" xfId="0" applyNumberFormat="1" applyFont="1" applyBorder="1" applyAlignment="1">
      <alignment horizontal="right" vertical="center"/>
    </xf>
    <xf numFmtId="38" fontId="0" fillId="0" borderId="0" xfId="0" applyNumberFormat="1" applyAlignment="1">
      <alignment horizontal="right" vertical="center"/>
    </xf>
    <xf numFmtId="38" fontId="4" fillId="0" borderId="0" xfId="0" applyNumberFormat="1" applyFont="1" applyAlignment="1">
      <alignment horizontal="right" vertical="center"/>
    </xf>
    <xf numFmtId="38" fontId="0" fillId="0" borderId="0" xfId="0" applyNumberFormat="1" applyAlignment="1">
      <alignment horizontal="right"/>
    </xf>
    <xf numFmtId="38" fontId="4" fillId="0" borderId="0" xfId="0" applyNumberFormat="1" applyFont="1" applyAlignment="1">
      <alignment vertical="top"/>
    </xf>
    <xf numFmtId="40" fontId="4" fillId="0" borderId="0" xfId="0" applyNumberFormat="1" applyFont="1" applyAlignment="1">
      <alignment horizontal="right" vertical="center"/>
    </xf>
    <xf numFmtId="0" fontId="11" fillId="0" borderId="0" xfId="5" applyAlignment="1">
      <alignment horizontal="left"/>
    </xf>
    <xf numFmtId="0" fontId="4" fillId="0" borderId="0" xfId="5" applyFont="1" applyAlignment="1">
      <alignment horizontal="right" vertical="top"/>
    </xf>
    <xf numFmtId="0" fontId="4" fillId="0" borderId="2" xfId="5" applyFont="1" applyBorder="1" applyAlignment="1">
      <alignment horizontal="right" vertical="top"/>
    </xf>
    <xf numFmtId="0" fontId="3" fillId="0" borderId="3" xfId="5" applyFont="1" applyBorder="1" applyAlignment="1">
      <alignment horizontal="center" vertical="center"/>
    </xf>
    <xf numFmtId="0" fontId="11" fillId="0" borderId="2" xfId="5" applyBorder="1" applyAlignment="1">
      <alignment horizontal="left"/>
    </xf>
    <xf numFmtId="0" fontId="3" fillId="0" borderId="4" xfId="5" applyFont="1" applyBorder="1" applyAlignment="1">
      <alignment horizontal="center" vertical="center"/>
    </xf>
    <xf numFmtId="38" fontId="4" fillId="0" borderId="2" xfId="0" applyNumberFormat="1" applyFont="1" applyBorder="1" applyAlignment="1">
      <alignment horizontal="center" vertical="center"/>
    </xf>
    <xf numFmtId="38" fontId="20" fillId="0" borderId="0" xfId="0" applyNumberFormat="1" applyFont="1" applyAlignment="1">
      <alignment horizontal="center" vertical="center"/>
    </xf>
    <xf numFmtId="38" fontId="20" fillId="0" borderId="0" xfId="0" applyNumberFormat="1" applyFont="1" applyAlignment="1">
      <alignment horizontal="right" vertical="center"/>
    </xf>
    <xf numFmtId="38" fontId="4" fillId="0" borderId="2" xfId="0" applyNumberFormat="1" applyFont="1" applyBorder="1" applyAlignment="1">
      <alignment horizontal="right" vertical="top"/>
    </xf>
    <xf numFmtId="38" fontId="20" fillId="0" borderId="0" xfId="0" applyNumberFormat="1" applyFont="1" applyAlignment="1">
      <alignment horizontal="left"/>
    </xf>
    <xf numFmtId="38" fontId="20" fillId="0" borderId="0" xfId="0" applyNumberFormat="1" applyFont="1" applyAlignment="1">
      <alignment horizontal="right"/>
    </xf>
    <xf numFmtId="38" fontId="4" fillId="0" borderId="6" xfId="0" applyNumberFormat="1" applyFont="1" applyBorder="1" applyAlignment="1">
      <alignment horizontal="right" vertical="center"/>
    </xf>
    <xf numFmtId="38" fontId="4" fillId="0" borderId="5" xfId="0" applyNumberFormat="1" applyFont="1" applyBorder="1" applyAlignment="1">
      <alignment horizontal="right" vertical="center"/>
    </xf>
    <xf numFmtId="38" fontId="4" fillId="0" borderId="0" xfId="0" applyNumberFormat="1" applyFont="1" applyAlignment="1">
      <alignment horizontal="center" vertical="center"/>
    </xf>
    <xf numFmtId="38" fontId="0" fillId="0" borderId="0" xfId="0" applyNumberFormat="1" applyAlignment="1">
      <alignment horizontal="center" vertical="center"/>
    </xf>
    <xf numFmtId="38" fontId="4" fillId="0" borderId="0" xfId="0" applyNumberFormat="1" applyFont="1" applyAlignment="1">
      <alignment horizontal="center"/>
    </xf>
    <xf numFmtId="38" fontId="4" fillId="0" borderId="5" xfId="0" applyNumberFormat="1" applyFont="1" applyBorder="1" applyAlignment="1">
      <alignment horizontal="center" vertical="center"/>
    </xf>
    <xf numFmtId="38" fontId="4" fillId="0" borderId="0" xfId="0" applyNumberFormat="1" applyFont="1" applyAlignment="1">
      <alignment horizontal="center" vertical="top"/>
    </xf>
    <xf numFmtId="38" fontId="0" fillId="0" borderId="0" xfId="0" applyNumberFormat="1" applyAlignment="1">
      <alignment horizontal="left"/>
    </xf>
    <xf numFmtId="38" fontId="4" fillId="0" borderId="6" xfId="0" applyNumberFormat="1" applyFont="1" applyBorder="1" applyAlignment="1">
      <alignment horizontal="center" vertical="top"/>
    </xf>
    <xf numFmtId="166" fontId="0" fillId="0" borderId="0" xfId="0" applyNumberFormat="1" applyAlignment="1">
      <alignment horizontal="left"/>
    </xf>
    <xf numFmtId="37" fontId="21" fillId="0" borderId="0" xfId="1" applyNumberFormat="1" applyFont="1" applyAlignment="1">
      <alignment horizontal="center" vertical="center"/>
    </xf>
    <xf numFmtId="0" fontId="8" fillId="0" borderId="0" xfId="1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 readingOrder="2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5" applyFont="1" applyAlignment="1">
      <alignment horizontal="right" vertical="top"/>
    </xf>
    <xf numFmtId="3" fontId="4" fillId="0" borderId="0" xfId="5" applyNumberFormat="1" applyFont="1" applyAlignment="1">
      <alignment horizontal="right" vertical="top"/>
    </xf>
    <xf numFmtId="0" fontId="4" fillId="0" borderId="2" xfId="5" applyFont="1" applyBorder="1" applyAlignment="1">
      <alignment horizontal="right" vertical="top"/>
    </xf>
    <xf numFmtId="3" fontId="4" fillId="0" borderId="2" xfId="5" applyNumberFormat="1" applyFont="1" applyBorder="1" applyAlignment="1">
      <alignment horizontal="right" vertical="top"/>
    </xf>
    <xf numFmtId="0" fontId="3" fillId="0" borderId="3" xfId="5" applyFont="1" applyBorder="1" applyAlignment="1">
      <alignment horizontal="center" vertical="center"/>
    </xf>
    <xf numFmtId="0" fontId="1" fillId="0" borderId="0" xfId="5" applyFont="1" applyAlignment="1">
      <alignment horizontal="center" vertical="center"/>
    </xf>
    <xf numFmtId="0" fontId="2" fillId="0" borderId="0" xfId="5" applyFont="1" applyAlignment="1">
      <alignment horizontal="right" vertical="center"/>
    </xf>
    <xf numFmtId="0" fontId="3" fillId="0" borderId="4" xfId="5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165" fontId="18" fillId="0" borderId="0" xfId="4" applyNumberFormat="1" applyFont="1" applyAlignment="1">
      <alignment horizontal="right" vertical="center"/>
    </xf>
    <xf numFmtId="165" fontId="14" fillId="0" borderId="0" xfId="4" applyNumberFormat="1"/>
  </cellXfs>
  <cellStyles count="7">
    <cellStyle name="Comma" xfId="6" builtinId="3"/>
    <cellStyle name="Comma 2 2 2" xfId="3" xr:uid="{6C44EE83-7629-486C-86DA-4CCB53F970C4}"/>
    <cellStyle name="Normal" xfId="0" builtinId="0"/>
    <cellStyle name="Normal 2" xfId="1" xr:uid="{425A1797-DB7E-4DB8-9B20-63E849E5664B}"/>
    <cellStyle name="Normal 2 2" xfId="4" xr:uid="{785E5991-2F6D-4DF5-9E65-70DBDC5B8E77}"/>
    <cellStyle name="Normal 2 3" xfId="5" xr:uid="{45952946-8717-4D47-B1D3-A73F89DEB58D}"/>
    <cellStyle name="Normal 2 4" xfId="2" xr:uid="{8D8F4484-EE75-49F8-981B-6262E7644C1C}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63500</xdr:colOff>
      <xdr:row>0</xdr:row>
      <xdr:rowOff>1</xdr:rowOff>
    </xdr:from>
    <xdr:ext cx="4200525" cy="5194299"/>
    <xdr:pic>
      <xdr:nvPicPr>
        <xdr:cNvPr id="2" name="Picture 1">
          <a:extLst>
            <a:ext uri="{FF2B5EF4-FFF2-40B4-BE49-F238E27FC236}">
              <a16:creationId xmlns:a16="http://schemas.microsoft.com/office/drawing/2014/main" id="{564A2B5C-F29F-4BFA-8255-1F7703706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03175" y="1"/>
          <a:ext cx="4200525" cy="5194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7CE48-CCE8-4CDA-8DAB-218A3D508442}">
  <sheetPr>
    <pageSetUpPr fitToPage="1"/>
  </sheetPr>
  <dimension ref="A1:V36"/>
  <sheetViews>
    <sheetView rightToLeft="1" tabSelected="1" view="pageBreakPreview" topLeftCell="A16" zoomScaleNormal="100" zoomScaleSheetLayoutView="100" workbookViewId="0">
      <selection activeCell="J12" sqref="J12"/>
    </sheetView>
  </sheetViews>
  <sheetFormatPr defaultColWidth="9.140625" defaultRowHeight="18.75"/>
  <cols>
    <col min="1" max="1" width="3.7109375" style="15" customWidth="1"/>
    <col min="2" max="8" width="13.42578125" style="15" customWidth="1"/>
    <col min="9" max="9" width="9.140625" style="15"/>
    <col min="10" max="10" width="12.42578125" style="15" bestFit="1" customWidth="1"/>
    <col min="11" max="16384" width="9.140625" style="15"/>
  </cols>
  <sheetData>
    <row r="1" spans="1:22" s="17" customFormat="1" ht="24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spans="1:22" s="17" customFormat="1" ht="22.5"/>
    <row r="3" spans="1:22" s="17" customFormat="1" ht="22.5"/>
    <row r="4" spans="1:22" s="17" customFormat="1" ht="22.5"/>
    <row r="23" spans="1:8" ht="29.45" customHeight="1"/>
    <row r="24" spans="1:8" ht="39" customHeight="1">
      <c r="A24" s="118" t="s">
        <v>155</v>
      </c>
      <c r="B24" s="119"/>
      <c r="C24" s="119"/>
      <c r="D24" s="119"/>
      <c r="E24" s="119"/>
      <c r="F24" s="119"/>
      <c r="G24" s="119"/>
      <c r="H24" s="119"/>
    </row>
    <row r="25" spans="1:8" ht="39" customHeight="1">
      <c r="A25" s="118" t="s">
        <v>118</v>
      </c>
      <c r="B25" s="119"/>
      <c r="C25" s="119"/>
      <c r="D25" s="119"/>
      <c r="E25" s="119"/>
      <c r="F25" s="119"/>
      <c r="G25" s="119"/>
      <c r="H25" s="119"/>
    </row>
    <row r="26" spans="1:8" ht="39" customHeight="1">
      <c r="A26" s="118" t="s">
        <v>117</v>
      </c>
      <c r="B26" s="119"/>
      <c r="C26" s="119"/>
      <c r="D26" s="119"/>
      <c r="E26" s="119"/>
      <c r="F26" s="119"/>
      <c r="G26" s="119"/>
      <c r="H26" s="119"/>
    </row>
    <row r="27" spans="1:8" ht="39" customHeight="1">
      <c r="A27" s="118" t="s">
        <v>195</v>
      </c>
      <c r="B27" s="119"/>
      <c r="C27" s="119"/>
      <c r="D27" s="119"/>
      <c r="E27" s="119"/>
      <c r="F27" s="119"/>
      <c r="G27" s="119"/>
      <c r="H27" s="119"/>
    </row>
    <row r="32" spans="1:8" s="16" customFormat="1" ht="22.5">
      <c r="B32" s="15"/>
      <c r="C32" s="15"/>
      <c r="D32" s="15"/>
      <c r="E32" s="15"/>
      <c r="F32" s="15"/>
      <c r="G32" s="15"/>
      <c r="H32" s="15"/>
    </row>
    <row r="33" spans="1:8" s="16" customFormat="1" ht="22.5">
      <c r="B33" s="15"/>
      <c r="C33" s="15"/>
      <c r="D33" s="15"/>
      <c r="E33" s="15"/>
      <c r="F33" s="15"/>
      <c r="G33" s="15"/>
      <c r="H33" s="15"/>
    </row>
    <row r="36" spans="1:8">
      <c r="A36" s="15" t="s">
        <v>116</v>
      </c>
    </row>
  </sheetData>
  <mergeCells count="4">
    <mergeCell ref="A24:H24"/>
    <mergeCell ref="A25:H25"/>
    <mergeCell ref="A26:H26"/>
    <mergeCell ref="A27:H27"/>
  </mergeCells>
  <pageMargins left="0.7" right="0.7" top="0.75" bottom="0.75" header="0.3" footer="0.3"/>
  <pageSetup paperSize="9" scale="91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71"/>
  <sheetViews>
    <sheetView rightToLeft="1" view="pageBreakPreview" topLeftCell="A52" zoomScaleNormal="100" zoomScaleSheetLayoutView="100" workbookViewId="0">
      <selection activeCell="W66" sqref="E66:W75"/>
    </sheetView>
  </sheetViews>
  <sheetFormatPr defaultRowHeight="12.75"/>
  <cols>
    <col min="1" max="1" width="47.42578125" style="9" customWidth="1"/>
    <col min="2" max="2" width="1.28515625" style="9" customWidth="1"/>
    <col min="3" max="3" width="17.28515625" style="9" customWidth="1"/>
    <col min="4" max="4" width="1.28515625" style="9" customWidth="1"/>
    <col min="5" max="5" width="18.42578125" style="9" bestFit="1" customWidth="1"/>
    <col min="6" max="6" width="1.28515625" style="9" customWidth="1"/>
    <col min="7" max="7" width="18.5703125" style="9" bestFit="1" customWidth="1"/>
    <col min="8" max="8" width="1.28515625" style="9" customWidth="1"/>
    <col min="9" max="9" width="11.7109375" style="9" bestFit="1" customWidth="1"/>
    <col min="10" max="10" width="1.28515625" style="9" customWidth="1"/>
    <col min="11" max="11" width="16.7109375" style="9" bestFit="1" customWidth="1"/>
    <col min="12" max="12" width="1.28515625" style="9" customWidth="1"/>
    <col min="13" max="13" width="13.5703125" style="9" bestFit="1" customWidth="1"/>
    <col min="14" max="14" width="1.28515625" style="9" customWidth="1"/>
    <col min="15" max="15" width="16.85546875" style="9" bestFit="1" customWidth="1"/>
    <col min="16" max="16" width="1.28515625" style="9" customWidth="1"/>
    <col min="17" max="17" width="12.85546875" style="9" bestFit="1" customWidth="1"/>
    <col min="18" max="18" width="1.28515625" style="9" customWidth="1"/>
    <col min="19" max="19" width="16.28515625" style="9" bestFit="1" customWidth="1"/>
    <col min="20" max="20" width="1.28515625" style="9" customWidth="1"/>
    <col min="21" max="21" width="18.42578125" style="9" bestFit="1" customWidth="1"/>
    <col min="22" max="22" width="1.28515625" style="9" customWidth="1"/>
    <col min="23" max="23" width="18.5703125" style="9" bestFit="1" customWidth="1"/>
    <col min="24" max="24" width="1.28515625" style="9" customWidth="1"/>
    <col min="25" max="25" width="18.28515625" style="9" bestFit="1" customWidth="1"/>
    <col min="26" max="27" width="16" style="9" bestFit="1" customWidth="1"/>
    <col min="28" max="28" width="9.140625" style="79"/>
    <col min="29" max="16384" width="9.140625" style="9"/>
  </cols>
  <sheetData>
    <row r="1" spans="1:27" ht="29.1" customHeight="1">
      <c r="A1" s="120" t="s">
        <v>156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</row>
    <row r="2" spans="1:27" ht="21.75" customHeight="1">
      <c r="A2" s="120" t="s">
        <v>0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</row>
    <row r="3" spans="1:27" ht="21.75" customHeight="1">
      <c r="A3" s="120" t="s">
        <v>196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</row>
    <row r="4" spans="1:27" ht="14.45" customHeight="1">
      <c r="A4" s="121" t="s">
        <v>114</v>
      </c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</row>
    <row r="5" spans="1:27" ht="14.45" customHeight="1">
      <c r="A5" s="121" t="s">
        <v>115</v>
      </c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</row>
    <row r="6" spans="1:27" ht="14.45" customHeight="1">
      <c r="C6" s="122" t="s">
        <v>157</v>
      </c>
      <c r="D6" s="122"/>
      <c r="E6" s="122"/>
      <c r="F6" s="122"/>
      <c r="G6" s="122"/>
      <c r="I6" s="122" t="s">
        <v>1</v>
      </c>
      <c r="J6" s="122"/>
      <c r="K6" s="122"/>
      <c r="L6" s="122"/>
      <c r="M6" s="122"/>
      <c r="N6" s="122"/>
      <c r="O6" s="122"/>
      <c r="Q6" s="122" t="s">
        <v>197</v>
      </c>
      <c r="R6" s="122"/>
      <c r="S6" s="122"/>
      <c r="T6" s="122"/>
      <c r="U6" s="122"/>
      <c r="V6" s="122"/>
      <c r="W6" s="122"/>
      <c r="X6" s="122"/>
      <c r="Y6" s="122"/>
    </row>
    <row r="7" spans="1:27" ht="14.45" customHeight="1">
      <c r="C7" s="10"/>
      <c r="D7" s="10"/>
      <c r="E7" s="10"/>
      <c r="F7" s="10"/>
      <c r="G7" s="10"/>
      <c r="I7" s="123" t="s">
        <v>2</v>
      </c>
      <c r="J7" s="123"/>
      <c r="K7" s="123"/>
      <c r="L7" s="10"/>
      <c r="M7" s="123" t="s">
        <v>3</v>
      </c>
      <c r="N7" s="123"/>
      <c r="O7" s="123"/>
      <c r="Q7" s="10"/>
      <c r="R7" s="10"/>
      <c r="S7" s="10"/>
      <c r="T7" s="10"/>
      <c r="U7" s="10"/>
      <c r="V7" s="10"/>
      <c r="W7" s="10"/>
      <c r="X7" s="10"/>
      <c r="Y7" s="10"/>
    </row>
    <row r="8" spans="1:27" ht="14.45" customHeight="1">
      <c r="A8" s="14" t="s">
        <v>4</v>
      </c>
      <c r="C8" s="40" t="s">
        <v>5</v>
      </c>
      <c r="E8" s="2" t="s">
        <v>6</v>
      </c>
      <c r="G8" s="2" t="s">
        <v>7</v>
      </c>
      <c r="I8" s="4" t="s">
        <v>5</v>
      </c>
      <c r="J8" s="10"/>
      <c r="K8" s="4" t="s">
        <v>6</v>
      </c>
      <c r="M8" s="4" t="s">
        <v>5</v>
      </c>
      <c r="N8" s="10"/>
      <c r="O8" s="4" t="s">
        <v>8</v>
      </c>
      <c r="Q8" s="2" t="s">
        <v>5</v>
      </c>
      <c r="S8" s="2" t="s">
        <v>9</v>
      </c>
      <c r="U8" s="2" t="s">
        <v>6</v>
      </c>
      <c r="W8" s="2" t="s">
        <v>7</v>
      </c>
      <c r="Y8" s="2" t="s">
        <v>10</v>
      </c>
    </row>
    <row r="9" spans="1:27" ht="21.75" customHeight="1">
      <c r="A9" s="88" t="s">
        <v>159</v>
      </c>
      <c r="B9" s="89"/>
      <c r="C9" s="90">
        <v>39961000</v>
      </c>
      <c r="D9" s="91"/>
      <c r="E9" s="90">
        <v>25107496300</v>
      </c>
      <c r="F9" s="91"/>
      <c r="G9" s="90">
        <v>25416997042</v>
      </c>
      <c r="H9" s="91"/>
      <c r="I9" s="92">
        <v>0</v>
      </c>
      <c r="J9" s="91"/>
      <c r="K9" s="92">
        <v>0</v>
      </c>
      <c r="L9" s="91"/>
      <c r="M9" s="92">
        <v>-23419000</v>
      </c>
      <c r="N9" s="91"/>
      <c r="O9" s="92">
        <v>0</v>
      </c>
      <c r="P9" s="93"/>
      <c r="Q9" s="92">
        <v>16542000</v>
      </c>
      <c r="R9" s="91"/>
      <c r="S9" s="92">
        <v>905</v>
      </c>
      <c r="T9" s="91"/>
      <c r="U9" s="92">
        <v>10393338600</v>
      </c>
      <c r="V9" s="93"/>
      <c r="W9" s="92">
        <v>14854787957</v>
      </c>
      <c r="X9" s="93"/>
      <c r="Y9" s="95">
        <f>W9/3348756631570*100</f>
        <v>0.44359114714274167</v>
      </c>
      <c r="Z9" s="23"/>
      <c r="AA9" s="23"/>
    </row>
    <row r="10" spans="1:27" ht="21.75" customHeight="1">
      <c r="A10" s="94" t="s">
        <v>161</v>
      </c>
      <c r="B10" s="89"/>
      <c r="C10" s="92">
        <v>829410</v>
      </c>
      <c r="D10" s="91"/>
      <c r="E10" s="92">
        <v>5828121406</v>
      </c>
      <c r="F10" s="91"/>
      <c r="G10" s="92">
        <v>7752647383</v>
      </c>
      <c r="H10" s="91"/>
      <c r="I10" s="92">
        <v>25171461</v>
      </c>
      <c r="J10" s="91"/>
      <c r="K10" s="92">
        <v>292711688580</v>
      </c>
      <c r="L10" s="91"/>
      <c r="M10" s="92">
        <v>0</v>
      </c>
      <c r="N10" s="91"/>
      <c r="O10" s="92">
        <v>0</v>
      </c>
      <c r="P10" s="93"/>
      <c r="Q10" s="92">
        <v>26000871</v>
      </c>
      <c r="R10" s="91"/>
      <c r="S10" s="92">
        <v>11300</v>
      </c>
      <c r="T10" s="91"/>
      <c r="U10" s="92">
        <v>298539809986</v>
      </c>
      <c r="V10" s="93"/>
      <c r="W10" s="92">
        <v>291538692219</v>
      </c>
      <c r="X10" s="93"/>
      <c r="Y10" s="95">
        <f t="shared" ref="Y10:Y63" si="0">W10/3348756631570*100</f>
        <v>8.7058787572245198</v>
      </c>
      <c r="Z10" s="23"/>
      <c r="AA10" s="23"/>
    </row>
    <row r="11" spans="1:27" ht="21.75" customHeight="1">
      <c r="A11" s="94" t="s">
        <v>162</v>
      </c>
      <c r="B11" s="89"/>
      <c r="C11" s="92">
        <v>1400000</v>
      </c>
      <c r="D11" s="91"/>
      <c r="E11" s="92">
        <v>12244532722</v>
      </c>
      <c r="F11" s="91"/>
      <c r="G11" s="92">
        <v>15392092240</v>
      </c>
      <c r="H11" s="91"/>
      <c r="I11" s="92">
        <v>2800000</v>
      </c>
      <c r="J11" s="91"/>
      <c r="K11" s="92">
        <v>36690483580</v>
      </c>
      <c r="L11" s="91"/>
      <c r="M11" s="92">
        <v>0</v>
      </c>
      <c r="N11" s="91"/>
      <c r="O11" s="92">
        <v>0</v>
      </c>
      <c r="P11" s="93"/>
      <c r="Q11" s="92">
        <v>4200000</v>
      </c>
      <c r="R11" s="91"/>
      <c r="S11" s="92">
        <v>12050</v>
      </c>
      <c r="T11" s="91"/>
      <c r="U11" s="92">
        <v>48935016302</v>
      </c>
      <c r="V11" s="93"/>
      <c r="W11" s="92">
        <v>50218784700</v>
      </c>
      <c r="X11" s="93"/>
      <c r="Y11" s="95">
        <f t="shared" si="0"/>
        <v>1.4996247928729265</v>
      </c>
      <c r="Z11" s="23"/>
      <c r="AA11" s="23"/>
    </row>
    <row r="12" spans="1:27" ht="21.75" customHeight="1">
      <c r="A12" s="94" t="s">
        <v>11</v>
      </c>
      <c r="B12" s="89"/>
      <c r="C12" s="92">
        <v>18460361</v>
      </c>
      <c r="D12" s="91"/>
      <c r="E12" s="92">
        <v>41887348526</v>
      </c>
      <c r="F12" s="91"/>
      <c r="G12" s="92">
        <v>34492158317</v>
      </c>
      <c r="H12" s="91"/>
      <c r="I12" s="92">
        <v>0</v>
      </c>
      <c r="J12" s="91"/>
      <c r="K12" s="92">
        <v>0</v>
      </c>
      <c r="L12" s="91"/>
      <c r="M12" s="92">
        <v>0</v>
      </c>
      <c r="N12" s="91"/>
      <c r="O12" s="92">
        <v>0</v>
      </c>
      <c r="P12" s="93"/>
      <c r="Q12" s="92">
        <v>18460361</v>
      </c>
      <c r="R12" s="91"/>
      <c r="S12" s="92">
        <v>2319</v>
      </c>
      <c r="T12" s="91"/>
      <c r="U12" s="92">
        <v>41887348526</v>
      </c>
      <c r="V12" s="93"/>
      <c r="W12" s="92">
        <v>42478659127</v>
      </c>
      <c r="X12" s="93"/>
      <c r="Y12" s="95">
        <f t="shared" si="0"/>
        <v>1.2684904817070777</v>
      </c>
      <c r="Z12" s="23"/>
      <c r="AA12" s="23"/>
    </row>
    <row r="13" spans="1:27" ht="21.75" customHeight="1">
      <c r="A13" s="94" t="s">
        <v>12</v>
      </c>
      <c r="B13" s="89"/>
      <c r="C13" s="92">
        <v>16192687</v>
      </c>
      <c r="D13" s="91"/>
      <c r="E13" s="92">
        <v>120014482426</v>
      </c>
      <c r="F13" s="91"/>
      <c r="G13" s="92">
        <v>168226908533</v>
      </c>
      <c r="H13" s="91"/>
      <c r="I13" s="92">
        <v>0</v>
      </c>
      <c r="J13" s="91"/>
      <c r="K13" s="92">
        <v>0</v>
      </c>
      <c r="L13" s="91"/>
      <c r="M13" s="92">
        <v>0</v>
      </c>
      <c r="N13" s="91"/>
      <c r="O13" s="92">
        <v>0</v>
      </c>
      <c r="P13" s="93"/>
      <c r="Q13" s="92">
        <v>16192687</v>
      </c>
      <c r="R13" s="91"/>
      <c r="S13" s="92">
        <v>10490</v>
      </c>
      <c r="T13" s="91"/>
      <c r="U13" s="92">
        <v>120014482426</v>
      </c>
      <c r="V13" s="93"/>
      <c r="W13" s="92">
        <v>168548258884</v>
      </c>
      <c r="X13" s="93"/>
      <c r="Y13" s="95">
        <f t="shared" si="0"/>
        <v>5.0331593910119228</v>
      </c>
      <c r="Z13" s="23"/>
      <c r="AA13" s="23"/>
    </row>
    <row r="14" spans="1:27" ht="21.75" customHeight="1">
      <c r="A14" s="94" t="s">
        <v>13</v>
      </c>
      <c r="B14" s="89"/>
      <c r="C14" s="92">
        <v>4041021</v>
      </c>
      <c r="D14" s="91"/>
      <c r="E14" s="92">
        <v>31828650703</v>
      </c>
      <c r="F14" s="91"/>
      <c r="G14" s="92">
        <v>34604435123</v>
      </c>
      <c r="H14" s="91"/>
      <c r="I14" s="92">
        <v>0</v>
      </c>
      <c r="J14" s="91"/>
      <c r="K14" s="92">
        <v>0</v>
      </c>
      <c r="L14" s="91"/>
      <c r="M14" s="92">
        <v>0</v>
      </c>
      <c r="N14" s="91"/>
      <c r="O14" s="92">
        <v>0</v>
      </c>
      <c r="P14" s="93"/>
      <c r="Q14" s="92">
        <v>4041021</v>
      </c>
      <c r="R14" s="91"/>
      <c r="S14" s="92">
        <v>7690</v>
      </c>
      <c r="T14" s="91"/>
      <c r="U14" s="92">
        <v>31828650703</v>
      </c>
      <c r="V14" s="93"/>
      <c r="W14" s="92">
        <v>30835238249</v>
      </c>
      <c r="X14" s="93"/>
      <c r="Y14" s="95">
        <f t="shared" si="0"/>
        <v>0.92079663115272414</v>
      </c>
      <c r="Z14" s="23"/>
      <c r="AA14" s="23"/>
    </row>
    <row r="15" spans="1:27" ht="21.75" customHeight="1">
      <c r="A15" s="94" t="s">
        <v>148</v>
      </c>
      <c r="B15" s="89"/>
      <c r="C15" s="92">
        <v>10000</v>
      </c>
      <c r="D15" s="91"/>
      <c r="E15" s="92">
        <v>2332465080</v>
      </c>
      <c r="F15" s="91"/>
      <c r="G15" s="92">
        <v>1715634830</v>
      </c>
      <c r="H15" s="91"/>
      <c r="I15" s="92">
        <v>0</v>
      </c>
      <c r="J15" s="91"/>
      <c r="K15" s="92">
        <v>0</v>
      </c>
      <c r="L15" s="91"/>
      <c r="M15" s="92">
        <v>0</v>
      </c>
      <c r="N15" s="91"/>
      <c r="O15" s="92">
        <v>0</v>
      </c>
      <c r="P15" s="93"/>
      <c r="Q15" s="92">
        <v>10000</v>
      </c>
      <c r="R15" s="91"/>
      <c r="S15" s="92">
        <v>236000</v>
      </c>
      <c r="T15" s="91"/>
      <c r="U15" s="92">
        <v>2332465080</v>
      </c>
      <c r="V15" s="93"/>
      <c r="W15" s="92">
        <v>2341757200</v>
      </c>
      <c r="X15" s="93"/>
      <c r="Y15" s="95">
        <f t="shared" si="0"/>
        <v>6.9929154538235658E-2</v>
      </c>
      <c r="Z15" s="23"/>
      <c r="AA15" s="23"/>
    </row>
    <row r="16" spans="1:27" ht="21.75" customHeight="1">
      <c r="A16" s="94" t="s">
        <v>150</v>
      </c>
      <c r="B16" s="89"/>
      <c r="C16" s="92">
        <v>3373729</v>
      </c>
      <c r="D16" s="91"/>
      <c r="E16" s="92">
        <v>37744429782</v>
      </c>
      <c r="F16" s="91"/>
      <c r="G16" s="92">
        <v>60090318843</v>
      </c>
      <c r="H16" s="91"/>
      <c r="I16" s="92">
        <v>0</v>
      </c>
      <c r="J16" s="91"/>
      <c r="K16" s="92">
        <v>0</v>
      </c>
      <c r="L16" s="91"/>
      <c r="M16" s="92">
        <v>0</v>
      </c>
      <c r="N16" s="91"/>
      <c r="O16" s="92">
        <v>0</v>
      </c>
      <c r="P16" s="93"/>
      <c r="Q16" s="92">
        <v>3373729</v>
      </c>
      <c r="R16" s="91"/>
      <c r="S16" s="92">
        <v>19600</v>
      </c>
      <c r="T16" s="91"/>
      <c r="U16" s="92">
        <v>37744429782</v>
      </c>
      <c r="V16" s="93"/>
      <c r="W16" s="92">
        <v>65613941466</v>
      </c>
      <c r="X16" s="93"/>
      <c r="Y16" s="95">
        <f t="shared" si="0"/>
        <v>1.9593523413267022</v>
      </c>
      <c r="Z16" s="23"/>
      <c r="AA16" s="23"/>
    </row>
    <row r="17" spans="1:27" ht="21.75" customHeight="1">
      <c r="A17" s="94" t="s">
        <v>14</v>
      </c>
      <c r="B17" s="89"/>
      <c r="C17" s="92">
        <v>2983927</v>
      </c>
      <c r="D17" s="91"/>
      <c r="E17" s="92">
        <v>15214011271</v>
      </c>
      <c r="F17" s="91"/>
      <c r="G17" s="92">
        <v>13294266986</v>
      </c>
      <c r="H17" s="91"/>
      <c r="I17" s="92">
        <v>0</v>
      </c>
      <c r="J17" s="91"/>
      <c r="K17" s="92">
        <v>0</v>
      </c>
      <c r="L17" s="91"/>
      <c r="M17" s="92">
        <v>0</v>
      </c>
      <c r="N17" s="91"/>
      <c r="O17" s="92">
        <v>0</v>
      </c>
      <c r="P17" s="93"/>
      <c r="Q17" s="92">
        <v>2983927</v>
      </c>
      <c r="R17" s="91"/>
      <c r="S17" s="92">
        <v>5660</v>
      </c>
      <c r="T17" s="91"/>
      <c r="U17" s="92">
        <v>15214011271</v>
      </c>
      <c r="V17" s="93"/>
      <c r="W17" s="92">
        <v>16758474642</v>
      </c>
      <c r="X17" s="93"/>
      <c r="Y17" s="95">
        <f t="shared" si="0"/>
        <v>0.50043871459668032</v>
      </c>
      <c r="Z17" s="23"/>
      <c r="AA17" s="23"/>
    </row>
    <row r="18" spans="1:27" ht="21.75" customHeight="1">
      <c r="A18" s="94" t="s">
        <v>135</v>
      </c>
      <c r="B18" s="89"/>
      <c r="C18" s="92">
        <v>251585</v>
      </c>
      <c r="D18" s="91"/>
      <c r="E18" s="92">
        <v>16162232517</v>
      </c>
      <c r="F18" s="91"/>
      <c r="G18" s="92">
        <v>12539429654</v>
      </c>
      <c r="H18" s="91"/>
      <c r="I18" s="92">
        <v>0</v>
      </c>
      <c r="J18" s="91"/>
      <c r="K18" s="92">
        <v>0</v>
      </c>
      <c r="L18" s="91"/>
      <c r="M18" s="92">
        <v>0</v>
      </c>
      <c r="N18" s="91"/>
      <c r="O18" s="92">
        <v>0</v>
      </c>
      <c r="P18" s="93"/>
      <c r="Q18" s="92">
        <v>251585</v>
      </c>
      <c r="R18" s="91"/>
      <c r="S18" s="92">
        <v>56280</v>
      </c>
      <c r="T18" s="91"/>
      <c r="U18" s="92">
        <v>16162232517</v>
      </c>
      <c r="V18" s="93"/>
      <c r="W18" s="92">
        <v>14049753154</v>
      </c>
      <c r="X18" s="93"/>
      <c r="Y18" s="95">
        <f t="shared" si="0"/>
        <v>0.41955133501036307</v>
      </c>
      <c r="Z18" s="23"/>
      <c r="AA18" s="23"/>
    </row>
    <row r="19" spans="1:27" ht="21.75" customHeight="1">
      <c r="A19" s="94" t="s">
        <v>15</v>
      </c>
      <c r="B19" s="89"/>
      <c r="C19" s="92">
        <v>2730605</v>
      </c>
      <c r="D19" s="91"/>
      <c r="E19" s="92">
        <v>82136753441</v>
      </c>
      <c r="F19" s="91"/>
      <c r="G19" s="92">
        <v>130353921037</v>
      </c>
      <c r="H19" s="91"/>
      <c r="I19" s="92">
        <v>1638363</v>
      </c>
      <c r="J19" s="91"/>
      <c r="K19" s="92">
        <v>0</v>
      </c>
      <c r="L19" s="91"/>
      <c r="M19" s="92">
        <v>0</v>
      </c>
      <c r="N19" s="91"/>
      <c r="O19" s="92">
        <v>0</v>
      </c>
      <c r="P19" s="93"/>
      <c r="Q19" s="92">
        <v>4368968</v>
      </c>
      <c r="R19" s="91"/>
      <c r="S19" s="92">
        <v>34390</v>
      </c>
      <c r="T19" s="91"/>
      <c r="U19" s="92">
        <v>82136753441</v>
      </c>
      <c r="V19" s="93"/>
      <c r="W19" s="92">
        <v>149087386222</v>
      </c>
      <c r="X19" s="93"/>
      <c r="Y19" s="95">
        <f t="shared" si="0"/>
        <v>4.452022127153004</v>
      </c>
      <c r="Z19" s="23"/>
      <c r="AA19" s="23"/>
    </row>
    <row r="20" spans="1:27" ht="21.75" customHeight="1">
      <c r="A20" s="94" t="s">
        <v>16</v>
      </c>
      <c r="B20" s="89"/>
      <c r="C20" s="92">
        <v>138131</v>
      </c>
      <c r="D20" s="91"/>
      <c r="E20" s="92">
        <v>12015849482</v>
      </c>
      <c r="F20" s="91"/>
      <c r="G20" s="92">
        <v>12679721014</v>
      </c>
      <c r="H20" s="91"/>
      <c r="I20" s="92">
        <v>0</v>
      </c>
      <c r="J20" s="91"/>
      <c r="K20" s="92">
        <v>0</v>
      </c>
      <c r="L20" s="91"/>
      <c r="M20" s="92">
        <v>0</v>
      </c>
      <c r="N20" s="91"/>
      <c r="O20" s="92">
        <v>0</v>
      </c>
      <c r="P20" s="93"/>
      <c r="Q20" s="92">
        <v>138131</v>
      </c>
      <c r="R20" s="91"/>
      <c r="S20" s="92">
        <v>92510</v>
      </c>
      <c r="T20" s="91"/>
      <c r="U20" s="92">
        <v>12015849482</v>
      </c>
      <c r="V20" s="93"/>
      <c r="W20" s="92">
        <v>12679721014</v>
      </c>
      <c r="X20" s="93"/>
      <c r="Y20" s="95">
        <f t="shared" si="0"/>
        <v>0.37863966865980814</v>
      </c>
      <c r="Z20" s="23"/>
      <c r="AA20" s="23"/>
    </row>
    <row r="21" spans="1:27" ht="21.75" customHeight="1">
      <c r="A21" s="94" t="s">
        <v>17</v>
      </c>
      <c r="B21" s="89"/>
      <c r="C21" s="92">
        <v>1019446</v>
      </c>
      <c r="D21" s="91"/>
      <c r="E21" s="92">
        <v>23163688107</v>
      </c>
      <c r="F21" s="91"/>
      <c r="G21" s="92">
        <v>62120248557</v>
      </c>
      <c r="H21" s="91"/>
      <c r="I21" s="92">
        <v>0</v>
      </c>
      <c r="J21" s="91"/>
      <c r="K21" s="92">
        <v>0</v>
      </c>
      <c r="L21" s="91"/>
      <c r="M21" s="92">
        <v>0</v>
      </c>
      <c r="N21" s="91"/>
      <c r="O21" s="92">
        <v>0</v>
      </c>
      <c r="P21" s="93"/>
      <c r="Q21" s="92">
        <v>1019446</v>
      </c>
      <c r="R21" s="91"/>
      <c r="S21" s="92">
        <v>61270</v>
      </c>
      <c r="T21" s="91"/>
      <c r="U21" s="92">
        <v>23163688107</v>
      </c>
      <c r="V21" s="93"/>
      <c r="W21" s="92">
        <v>61978629361</v>
      </c>
      <c r="X21" s="93"/>
      <c r="Y21" s="95">
        <f t="shared" si="0"/>
        <v>1.8507952705999573</v>
      </c>
      <c r="Z21" s="23"/>
      <c r="AA21" s="23"/>
    </row>
    <row r="22" spans="1:27" ht="21.75" customHeight="1">
      <c r="A22" s="94" t="s">
        <v>18</v>
      </c>
      <c r="B22" s="89"/>
      <c r="C22" s="92">
        <v>1659644</v>
      </c>
      <c r="D22" s="91"/>
      <c r="E22" s="92">
        <v>54357897573</v>
      </c>
      <c r="F22" s="91"/>
      <c r="G22" s="92">
        <v>43442978430</v>
      </c>
      <c r="H22" s="91"/>
      <c r="I22" s="92">
        <v>0</v>
      </c>
      <c r="J22" s="91"/>
      <c r="K22" s="92">
        <v>0</v>
      </c>
      <c r="L22" s="91"/>
      <c r="M22" s="92">
        <v>0</v>
      </c>
      <c r="N22" s="91"/>
      <c r="O22" s="92">
        <v>0</v>
      </c>
      <c r="P22" s="93"/>
      <c r="Q22" s="92">
        <v>1659644</v>
      </c>
      <c r="R22" s="91"/>
      <c r="S22" s="92">
        <v>30710</v>
      </c>
      <c r="T22" s="91"/>
      <c r="U22" s="92">
        <v>54357897573</v>
      </c>
      <c r="V22" s="93"/>
      <c r="W22" s="92">
        <v>50573687172</v>
      </c>
      <c r="X22" s="93"/>
      <c r="Y22" s="95">
        <f t="shared" si="0"/>
        <v>1.5102228300266032</v>
      </c>
      <c r="Z22" s="23"/>
      <c r="AA22" s="23"/>
    </row>
    <row r="23" spans="1:27" ht="21.75" customHeight="1">
      <c r="A23" s="94" t="s">
        <v>19</v>
      </c>
      <c r="B23" s="89"/>
      <c r="C23" s="92">
        <v>6054099</v>
      </c>
      <c r="D23" s="91"/>
      <c r="E23" s="92">
        <v>45545868936</v>
      </c>
      <c r="F23" s="91"/>
      <c r="G23" s="92">
        <v>50100888794</v>
      </c>
      <c r="H23" s="91"/>
      <c r="I23" s="92">
        <v>0</v>
      </c>
      <c r="J23" s="91"/>
      <c r="K23" s="92">
        <v>0</v>
      </c>
      <c r="L23" s="91"/>
      <c r="M23" s="92">
        <v>0</v>
      </c>
      <c r="N23" s="91"/>
      <c r="O23" s="92">
        <v>0</v>
      </c>
      <c r="P23" s="93"/>
      <c r="Q23" s="92">
        <v>6054099</v>
      </c>
      <c r="R23" s="91"/>
      <c r="S23" s="92">
        <v>11800</v>
      </c>
      <c r="T23" s="91"/>
      <c r="U23" s="92">
        <v>45545868936</v>
      </c>
      <c r="V23" s="93"/>
      <c r="W23" s="92">
        <v>70886149613</v>
      </c>
      <c r="X23" s="93"/>
      <c r="Y23" s="95">
        <f t="shared" si="0"/>
        <v>2.116790122779582</v>
      </c>
      <c r="Z23" s="23"/>
      <c r="AA23" s="23"/>
    </row>
    <row r="24" spans="1:27" ht="21.75" customHeight="1">
      <c r="A24" s="94" t="s">
        <v>20</v>
      </c>
      <c r="B24" s="89"/>
      <c r="C24" s="92">
        <v>1600000</v>
      </c>
      <c r="D24" s="91"/>
      <c r="E24" s="92">
        <v>4831452247</v>
      </c>
      <c r="F24" s="91"/>
      <c r="G24" s="92">
        <v>3465800656</v>
      </c>
      <c r="H24" s="91"/>
      <c r="I24" s="92">
        <v>0</v>
      </c>
      <c r="J24" s="91"/>
      <c r="K24" s="92">
        <v>0</v>
      </c>
      <c r="L24" s="91"/>
      <c r="M24" s="92">
        <v>0</v>
      </c>
      <c r="N24" s="91"/>
      <c r="O24" s="92">
        <v>0</v>
      </c>
      <c r="P24" s="93"/>
      <c r="Q24" s="92">
        <v>1600000</v>
      </c>
      <c r="R24" s="91"/>
      <c r="S24" s="92">
        <v>2492</v>
      </c>
      <c r="T24" s="91"/>
      <c r="U24" s="92">
        <v>4831452247</v>
      </c>
      <c r="V24" s="93"/>
      <c r="W24" s="92">
        <v>3956378944</v>
      </c>
      <c r="X24" s="93"/>
      <c r="Y24" s="95">
        <f t="shared" si="0"/>
        <v>0.11814471397239541</v>
      </c>
      <c r="Z24" s="23"/>
      <c r="AA24" s="23"/>
    </row>
    <row r="25" spans="1:27" ht="21.75" customHeight="1">
      <c r="A25" s="94" t="s">
        <v>21</v>
      </c>
      <c r="B25" s="89"/>
      <c r="C25" s="92">
        <v>3144957</v>
      </c>
      <c r="D25" s="91"/>
      <c r="E25" s="92">
        <v>17152112059</v>
      </c>
      <c r="F25" s="91"/>
      <c r="G25" s="92">
        <v>18723878894</v>
      </c>
      <c r="H25" s="91"/>
      <c r="I25" s="92">
        <v>0</v>
      </c>
      <c r="J25" s="91"/>
      <c r="K25" s="92">
        <v>0</v>
      </c>
      <c r="L25" s="91"/>
      <c r="M25" s="92">
        <v>0</v>
      </c>
      <c r="N25" s="91"/>
      <c r="O25" s="92">
        <v>0</v>
      </c>
      <c r="P25" s="93"/>
      <c r="Q25" s="92">
        <v>3144957</v>
      </c>
      <c r="R25" s="91"/>
      <c r="S25" s="92">
        <v>7370</v>
      </c>
      <c r="T25" s="91"/>
      <c r="U25" s="92">
        <v>17152112059</v>
      </c>
      <c r="V25" s="93"/>
      <c r="W25" s="92">
        <v>22999164575</v>
      </c>
      <c r="X25" s="93"/>
      <c r="Y25" s="95">
        <f t="shared" si="0"/>
        <v>0.68679713414161381</v>
      </c>
      <c r="Z25" s="23"/>
      <c r="AA25" s="23"/>
    </row>
    <row r="26" spans="1:27" ht="21.75" customHeight="1">
      <c r="A26" s="94" t="s">
        <v>22</v>
      </c>
      <c r="B26" s="89"/>
      <c r="C26" s="92">
        <v>375619</v>
      </c>
      <c r="D26" s="91"/>
      <c r="E26" s="92">
        <v>1457014160</v>
      </c>
      <c r="F26" s="91"/>
      <c r="G26" s="92">
        <v>1830032933</v>
      </c>
      <c r="H26" s="91"/>
      <c r="I26" s="92">
        <v>0</v>
      </c>
      <c r="J26" s="91"/>
      <c r="K26" s="92">
        <v>0</v>
      </c>
      <c r="L26" s="91"/>
      <c r="M26" s="92">
        <v>0</v>
      </c>
      <c r="N26" s="91"/>
      <c r="O26" s="92">
        <v>0</v>
      </c>
      <c r="P26" s="93"/>
      <c r="Q26" s="92">
        <v>375619</v>
      </c>
      <c r="R26" s="91"/>
      <c r="S26" s="92">
        <v>6910</v>
      </c>
      <c r="T26" s="91"/>
      <c r="U26" s="92">
        <v>1457014160</v>
      </c>
      <c r="V26" s="93"/>
      <c r="W26" s="92">
        <v>2575463864</v>
      </c>
      <c r="X26" s="93"/>
      <c r="Y26" s="95">
        <f t="shared" si="0"/>
        <v>7.6908063121700884E-2</v>
      </c>
      <c r="Z26" s="23"/>
      <c r="AA26" s="23"/>
    </row>
    <row r="27" spans="1:27" ht="21.75" customHeight="1">
      <c r="A27" s="94" t="s">
        <v>23</v>
      </c>
      <c r="B27" s="89"/>
      <c r="C27" s="92">
        <v>6416569</v>
      </c>
      <c r="D27" s="91"/>
      <c r="E27" s="92">
        <v>118021969328</v>
      </c>
      <c r="F27" s="91"/>
      <c r="G27" s="92">
        <v>171398803370</v>
      </c>
      <c r="H27" s="91"/>
      <c r="I27" s="92">
        <v>990000</v>
      </c>
      <c r="J27" s="91"/>
      <c r="K27" s="92">
        <v>34250199832</v>
      </c>
      <c r="L27" s="91"/>
      <c r="M27" s="92">
        <v>0</v>
      </c>
      <c r="N27" s="91"/>
      <c r="O27" s="92">
        <v>0</v>
      </c>
      <c r="P27" s="93"/>
      <c r="Q27" s="92">
        <v>7406569</v>
      </c>
      <c r="R27" s="91"/>
      <c r="S27" s="92">
        <v>37840</v>
      </c>
      <c r="T27" s="91"/>
      <c r="U27" s="92">
        <v>152272169160</v>
      </c>
      <c r="V27" s="93"/>
      <c r="W27" s="92">
        <v>278098125826</v>
      </c>
      <c r="X27" s="93"/>
      <c r="Y27" s="95">
        <f t="shared" si="0"/>
        <v>8.3045188534832111</v>
      </c>
      <c r="Z27" s="23"/>
      <c r="AA27" s="23"/>
    </row>
    <row r="28" spans="1:27" ht="21.75" customHeight="1">
      <c r="A28" s="94" t="s">
        <v>24</v>
      </c>
      <c r="B28" s="89"/>
      <c r="C28" s="92">
        <v>198243</v>
      </c>
      <c r="D28" s="91"/>
      <c r="E28" s="92">
        <v>6663887337</v>
      </c>
      <c r="F28" s="91"/>
      <c r="G28" s="92">
        <v>7917600909</v>
      </c>
      <c r="H28" s="91"/>
      <c r="I28" s="92">
        <v>0</v>
      </c>
      <c r="J28" s="91"/>
      <c r="K28" s="92">
        <v>0</v>
      </c>
      <c r="L28" s="91"/>
      <c r="M28" s="92">
        <v>0</v>
      </c>
      <c r="N28" s="91"/>
      <c r="O28" s="92">
        <v>0</v>
      </c>
      <c r="P28" s="93"/>
      <c r="Q28" s="92">
        <v>198243</v>
      </c>
      <c r="R28" s="91"/>
      <c r="S28" s="92">
        <v>52900</v>
      </c>
      <c r="T28" s="91"/>
      <c r="U28" s="92">
        <v>6663887337</v>
      </c>
      <c r="V28" s="93"/>
      <c r="W28" s="92">
        <v>10405989767</v>
      </c>
      <c r="X28" s="93"/>
      <c r="Y28" s="95">
        <f t="shared" si="0"/>
        <v>0.31074189354039</v>
      </c>
      <c r="Z28" s="23"/>
      <c r="AA28" s="23"/>
    </row>
    <row r="29" spans="1:27" ht="21.75" customHeight="1">
      <c r="A29" s="94" t="s">
        <v>164</v>
      </c>
      <c r="B29" s="89"/>
      <c r="C29" s="92">
        <v>800000</v>
      </c>
      <c r="D29" s="91"/>
      <c r="E29" s="92">
        <v>12496954816</v>
      </c>
      <c r="F29" s="91"/>
      <c r="G29" s="92">
        <v>7604757280</v>
      </c>
      <c r="H29" s="91"/>
      <c r="I29" s="92">
        <v>0</v>
      </c>
      <c r="J29" s="91"/>
      <c r="K29" s="92">
        <v>0</v>
      </c>
      <c r="L29" s="91"/>
      <c r="M29" s="92">
        <v>0</v>
      </c>
      <c r="N29" s="91"/>
      <c r="O29" s="92">
        <v>0</v>
      </c>
      <c r="P29" s="93"/>
      <c r="Q29" s="92">
        <v>800000</v>
      </c>
      <c r="R29" s="91"/>
      <c r="S29" s="92">
        <v>10350</v>
      </c>
      <c r="T29" s="91"/>
      <c r="U29" s="92">
        <v>12496954816</v>
      </c>
      <c r="V29" s="93"/>
      <c r="W29" s="92">
        <v>8215995600</v>
      </c>
      <c r="X29" s="93"/>
      <c r="Y29" s="95">
        <f t="shared" si="0"/>
        <v>0.24534466083753864</v>
      </c>
      <c r="Z29" s="23"/>
      <c r="AA29" s="23"/>
    </row>
    <row r="30" spans="1:27" ht="21.75" customHeight="1">
      <c r="A30" s="94" t="s">
        <v>169</v>
      </c>
      <c r="B30" s="89"/>
      <c r="C30" s="92">
        <v>1500000</v>
      </c>
      <c r="D30" s="91"/>
      <c r="E30" s="92">
        <v>6346863120</v>
      </c>
      <c r="F30" s="91"/>
      <c r="G30" s="92">
        <v>6906199200</v>
      </c>
      <c r="H30" s="91"/>
      <c r="I30" s="92">
        <v>0</v>
      </c>
      <c r="J30" s="91"/>
      <c r="K30" s="92">
        <v>0</v>
      </c>
      <c r="L30" s="91"/>
      <c r="M30" s="92">
        <v>0</v>
      </c>
      <c r="N30" s="91"/>
      <c r="O30" s="92">
        <v>0</v>
      </c>
      <c r="P30" s="93"/>
      <c r="Q30" s="92">
        <v>1500000</v>
      </c>
      <c r="R30" s="91"/>
      <c r="S30" s="92">
        <v>5440</v>
      </c>
      <c r="T30" s="91"/>
      <c r="U30" s="92">
        <v>6346863120</v>
      </c>
      <c r="V30" s="93"/>
      <c r="W30" s="92">
        <v>8096923200</v>
      </c>
      <c r="X30" s="93"/>
      <c r="Y30" s="95">
        <f t="shared" si="0"/>
        <v>0.24178894111525545</v>
      </c>
      <c r="Z30" s="23"/>
      <c r="AA30" s="23"/>
    </row>
    <row r="31" spans="1:27" ht="21.75" customHeight="1">
      <c r="A31" s="94" t="s">
        <v>171</v>
      </c>
      <c r="B31" s="89"/>
      <c r="C31" s="92">
        <v>1200000</v>
      </c>
      <c r="D31" s="91"/>
      <c r="E31" s="92">
        <v>8013290658</v>
      </c>
      <c r="F31" s="91"/>
      <c r="G31" s="92">
        <v>8739914160</v>
      </c>
      <c r="H31" s="91"/>
      <c r="I31" s="92">
        <v>0</v>
      </c>
      <c r="J31" s="91"/>
      <c r="K31" s="92">
        <v>0</v>
      </c>
      <c r="L31" s="91"/>
      <c r="M31" s="92">
        <v>0</v>
      </c>
      <c r="N31" s="91"/>
      <c r="O31" s="92">
        <v>0</v>
      </c>
      <c r="P31" s="93"/>
      <c r="Q31" s="92">
        <v>1200000</v>
      </c>
      <c r="R31" s="91"/>
      <c r="S31" s="92">
        <v>7980</v>
      </c>
      <c r="T31" s="91"/>
      <c r="U31" s="92">
        <v>8013290658</v>
      </c>
      <c r="V31" s="93"/>
      <c r="W31" s="92">
        <v>9501977520</v>
      </c>
      <c r="X31" s="93"/>
      <c r="Y31" s="95">
        <f t="shared" si="0"/>
        <v>0.28374643383819687</v>
      </c>
      <c r="Z31" s="23"/>
      <c r="AA31" s="23"/>
    </row>
    <row r="32" spans="1:27" ht="21.75" customHeight="1">
      <c r="A32" s="94" t="s">
        <v>170</v>
      </c>
      <c r="B32" s="89"/>
      <c r="C32" s="92">
        <v>30000</v>
      </c>
      <c r="D32" s="91"/>
      <c r="E32" s="92">
        <v>3600566424</v>
      </c>
      <c r="F32" s="91"/>
      <c r="G32" s="92">
        <v>3741850170</v>
      </c>
      <c r="H32" s="91"/>
      <c r="I32" s="92">
        <v>0</v>
      </c>
      <c r="J32" s="91"/>
      <c r="K32" s="92">
        <v>0</v>
      </c>
      <c r="L32" s="91"/>
      <c r="M32" s="92">
        <v>0</v>
      </c>
      <c r="N32" s="91"/>
      <c r="O32" s="92">
        <v>0</v>
      </c>
      <c r="P32" s="93"/>
      <c r="Q32" s="92">
        <v>30000</v>
      </c>
      <c r="R32" s="91"/>
      <c r="S32" s="92">
        <v>133300</v>
      </c>
      <c r="T32" s="91"/>
      <c r="U32" s="92">
        <v>3600566424</v>
      </c>
      <c r="V32" s="93"/>
      <c r="W32" s="92">
        <v>3968087730</v>
      </c>
      <c r="X32" s="93"/>
      <c r="Y32" s="95">
        <f t="shared" si="0"/>
        <v>0.11849435974508661</v>
      </c>
      <c r="Z32" s="23"/>
      <c r="AA32" s="23"/>
    </row>
    <row r="33" spans="1:27" ht="21.75" customHeight="1">
      <c r="A33" s="94" t="s">
        <v>172</v>
      </c>
      <c r="B33" s="89"/>
      <c r="C33" s="92">
        <v>300000</v>
      </c>
      <c r="D33" s="91"/>
      <c r="E33" s="92">
        <v>4132032356</v>
      </c>
      <c r="F33" s="91"/>
      <c r="G33" s="92">
        <v>4947458220</v>
      </c>
      <c r="H33" s="91"/>
      <c r="I33" s="92">
        <v>0</v>
      </c>
      <c r="J33" s="91"/>
      <c r="K33" s="92">
        <v>0</v>
      </c>
      <c r="L33" s="91"/>
      <c r="M33" s="92">
        <v>-100000</v>
      </c>
      <c r="N33" s="91"/>
      <c r="O33" s="92">
        <v>2028199896</v>
      </c>
      <c r="P33" s="93"/>
      <c r="Q33" s="92">
        <v>200000</v>
      </c>
      <c r="R33" s="91"/>
      <c r="S33" s="92">
        <v>19520</v>
      </c>
      <c r="T33" s="91"/>
      <c r="U33" s="92">
        <v>2754688237</v>
      </c>
      <c r="V33" s="93"/>
      <c r="W33" s="92">
        <v>3873822080</v>
      </c>
      <c r="X33" s="93"/>
      <c r="Y33" s="95">
        <f t="shared" si="0"/>
        <v>0.11567941496494576</v>
      </c>
      <c r="Z33" s="23"/>
      <c r="AA33" s="23"/>
    </row>
    <row r="34" spans="1:27" ht="21.75" customHeight="1">
      <c r="A34" s="94" t="s">
        <v>25</v>
      </c>
      <c r="B34" s="89"/>
      <c r="C34" s="92">
        <v>31498068</v>
      </c>
      <c r="D34" s="91"/>
      <c r="E34" s="92">
        <v>260950600924</v>
      </c>
      <c r="F34" s="91"/>
      <c r="G34" s="92">
        <v>325047714517</v>
      </c>
      <c r="H34" s="91"/>
      <c r="I34" s="92">
        <v>8633377</v>
      </c>
      <c r="J34" s="91"/>
      <c r="K34" s="92">
        <v>7007719541</v>
      </c>
      <c r="L34" s="91"/>
      <c r="M34" s="92">
        <v>0</v>
      </c>
      <c r="N34" s="91"/>
      <c r="O34" s="92">
        <v>0</v>
      </c>
      <c r="P34" s="93"/>
      <c r="Q34" s="92">
        <v>40131445</v>
      </c>
      <c r="R34" s="91"/>
      <c r="S34" s="92">
        <v>9590</v>
      </c>
      <c r="T34" s="91"/>
      <c r="U34" s="92">
        <v>267958320465</v>
      </c>
      <c r="V34" s="93"/>
      <c r="W34" s="92">
        <v>381885585440</v>
      </c>
      <c r="X34" s="93"/>
      <c r="Y34" s="95">
        <f t="shared" si="0"/>
        <v>11.403802290074459</v>
      </c>
      <c r="Z34" s="23"/>
      <c r="AA34" s="23"/>
    </row>
    <row r="35" spans="1:27" ht="21.75" customHeight="1">
      <c r="A35" s="94" t="s">
        <v>26</v>
      </c>
      <c r="B35" s="89"/>
      <c r="C35" s="92">
        <v>19612437</v>
      </c>
      <c r="D35" s="91"/>
      <c r="E35" s="92">
        <v>53573564596</v>
      </c>
      <c r="F35" s="91"/>
      <c r="G35" s="92">
        <v>102169372525</v>
      </c>
      <c r="H35" s="91"/>
      <c r="I35" s="92">
        <v>0</v>
      </c>
      <c r="J35" s="91"/>
      <c r="K35" s="92">
        <v>0</v>
      </c>
      <c r="L35" s="91"/>
      <c r="M35" s="92">
        <v>0</v>
      </c>
      <c r="N35" s="91"/>
      <c r="O35" s="92">
        <v>0</v>
      </c>
      <c r="P35" s="93"/>
      <c r="Q35" s="92">
        <v>19612437</v>
      </c>
      <c r="R35" s="91"/>
      <c r="S35" s="92">
        <v>8640</v>
      </c>
      <c r="T35" s="91"/>
      <c r="U35" s="92">
        <v>53573564596</v>
      </c>
      <c r="V35" s="93"/>
      <c r="W35" s="92">
        <v>168141595927</v>
      </c>
      <c r="X35" s="93"/>
      <c r="Y35" s="95">
        <f t="shared" si="0"/>
        <v>5.0210156910736758</v>
      </c>
      <c r="Z35" s="23"/>
      <c r="AA35" s="23"/>
    </row>
    <row r="36" spans="1:27" ht="21.75" customHeight="1">
      <c r="A36" s="94" t="s">
        <v>27</v>
      </c>
      <c r="B36" s="89"/>
      <c r="C36" s="92">
        <v>36955535</v>
      </c>
      <c r="D36" s="91"/>
      <c r="E36" s="92">
        <v>71358229564</v>
      </c>
      <c r="F36" s="91"/>
      <c r="G36" s="92">
        <v>62778815239</v>
      </c>
      <c r="H36" s="91"/>
      <c r="I36" s="92">
        <v>4000000</v>
      </c>
      <c r="J36" s="91"/>
      <c r="K36" s="92">
        <v>8828456494</v>
      </c>
      <c r="L36" s="91"/>
      <c r="M36" s="92">
        <v>0</v>
      </c>
      <c r="N36" s="91"/>
      <c r="O36" s="92">
        <v>0</v>
      </c>
      <c r="P36" s="93"/>
      <c r="Q36" s="92">
        <v>40955535</v>
      </c>
      <c r="R36" s="91"/>
      <c r="S36" s="92">
        <v>2201</v>
      </c>
      <c r="T36" s="91"/>
      <c r="U36" s="92">
        <v>80186686058</v>
      </c>
      <c r="V36" s="93"/>
      <c r="W36" s="92">
        <v>89446326120</v>
      </c>
      <c r="X36" s="93"/>
      <c r="Y36" s="95">
        <f t="shared" si="0"/>
        <v>2.6710309515106454</v>
      </c>
      <c r="Z36" s="23"/>
      <c r="AA36" s="23"/>
    </row>
    <row r="37" spans="1:27" ht="21.75" customHeight="1">
      <c r="A37" s="94" t="s">
        <v>28</v>
      </c>
      <c r="B37" s="89"/>
      <c r="C37" s="92">
        <v>10729785</v>
      </c>
      <c r="D37" s="91"/>
      <c r="E37" s="92">
        <v>235177701101</v>
      </c>
      <c r="F37" s="91"/>
      <c r="G37" s="92">
        <v>249242612467</v>
      </c>
      <c r="H37" s="91"/>
      <c r="I37" s="92">
        <v>800000</v>
      </c>
      <c r="J37" s="91"/>
      <c r="K37" s="92">
        <v>22628121095</v>
      </c>
      <c r="L37" s="91"/>
      <c r="M37" s="92">
        <v>0</v>
      </c>
      <c r="N37" s="91"/>
      <c r="O37" s="92">
        <v>0</v>
      </c>
      <c r="P37" s="93"/>
      <c r="Q37" s="92">
        <v>11529785</v>
      </c>
      <c r="R37" s="91"/>
      <c r="S37" s="92">
        <v>29470</v>
      </c>
      <c r="T37" s="91"/>
      <c r="U37" s="92">
        <v>257805822196</v>
      </c>
      <c r="V37" s="93"/>
      <c r="W37" s="92">
        <v>337156243184</v>
      </c>
      <c r="X37" s="93"/>
      <c r="Y37" s="95">
        <f t="shared" si="0"/>
        <v>10.068102292220942</v>
      </c>
      <c r="Z37" s="23"/>
      <c r="AA37" s="23"/>
    </row>
    <row r="38" spans="1:27" ht="21.75" customHeight="1">
      <c r="A38" s="94" t="s">
        <v>29</v>
      </c>
      <c r="B38" s="89"/>
      <c r="C38" s="92">
        <v>8628591</v>
      </c>
      <c r="D38" s="91"/>
      <c r="E38" s="92">
        <v>26355964900</v>
      </c>
      <c r="F38" s="91"/>
      <c r="G38" s="92">
        <v>37415468003</v>
      </c>
      <c r="H38" s="91"/>
      <c r="I38" s="92">
        <v>5144153</v>
      </c>
      <c r="J38" s="91"/>
      <c r="K38" s="92">
        <v>0</v>
      </c>
      <c r="L38" s="91"/>
      <c r="M38" s="92">
        <v>-8628591</v>
      </c>
      <c r="N38" s="91"/>
      <c r="O38" s="92">
        <v>24397688623</v>
      </c>
      <c r="P38" s="93"/>
      <c r="Q38" s="92">
        <v>5144153</v>
      </c>
      <c r="R38" s="91"/>
      <c r="S38" s="92">
        <v>2647</v>
      </c>
      <c r="T38" s="91"/>
      <c r="U38" s="92">
        <v>7859872955</v>
      </c>
      <c r="V38" s="93"/>
      <c r="W38" s="92">
        <v>13511316881</v>
      </c>
      <c r="X38" s="93"/>
      <c r="Y38" s="95">
        <f t="shared" si="0"/>
        <v>0.40347264276011247</v>
      </c>
      <c r="Z38" s="23"/>
      <c r="AA38" s="23"/>
    </row>
    <row r="39" spans="1:27" ht="21.75" customHeight="1">
      <c r="A39" s="94" t="s">
        <v>30</v>
      </c>
      <c r="B39" s="89"/>
      <c r="C39" s="92">
        <v>392907</v>
      </c>
      <c r="D39" s="91"/>
      <c r="E39" s="92">
        <v>6528136794</v>
      </c>
      <c r="F39" s="91"/>
      <c r="G39" s="92">
        <v>13290662466</v>
      </c>
      <c r="H39" s="91"/>
      <c r="I39" s="92">
        <v>0</v>
      </c>
      <c r="J39" s="91"/>
      <c r="K39" s="92">
        <v>0</v>
      </c>
      <c r="L39" s="91"/>
      <c r="M39" s="92">
        <v>0</v>
      </c>
      <c r="N39" s="91"/>
      <c r="O39" s="92">
        <v>0</v>
      </c>
      <c r="P39" s="93"/>
      <c r="Q39" s="92">
        <v>392907</v>
      </c>
      <c r="R39" s="91"/>
      <c r="S39" s="92">
        <v>38470</v>
      </c>
      <c r="T39" s="91"/>
      <c r="U39" s="92">
        <v>6528136794</v>
      </c>
      <c r="V39" s="93"/>
      <c r="W39" s="92">
        <v>14998292317</v>
      </c>
      <c r="X39" s="93"/>
      <c r="Y39" s="95">
        <f t="shared" si="0"/>
        <v>0.44787644989204062</v>
      </c>
      <c r="Z39" s="23"/>
      <c r="AA39" s="23"/>
    </row>
    <row r="40" spans="1:27" ht="21.75" customHeight="1">
      <c r="A40" s="94" t="s">
        <v>31</v>
      </c>
      <c r="B40" s="89"/>
      <c r="C40" s="92">
        <v>1200000</v>
      </c>
      <c r="D40" s="91"/>
      <c r="E40" s="92">
        <v>19657750724</v>
      </c>
      <c r="F40" s="91"/>
      <c r="G40" s="92">
        <v>34566717720</v>
      </c>
      <c r="H40" s="91"/>
      <c r="I40" s="92">
        <v>0</v>
      </c>
      <c r="J40" s="91"/>
      <c r="K40" s="92">
        <v>0</v>
      </c>
      <c r="L40" s="91"/>
      <c r="M40" s="92">
        <v>0</v>
      </c>
      <c r="N40" s="91"/>
      <c r="O40" s="92">
        <v>0</v>
      </c>
      <c r="P40" s="93"/>
      <c r="Q40" s="92">
        <v>1200000</v>
      </c>
      <c r="R40" s="91"/>
      <c r="S40" s="92">
        <v>34770</v>
      </c>
      <c r="T40" s="91"/>
      <c r="U40" s="92">
        <v>19657750724</v>
      </c>
      <c r="V40" s="93"/>
      <c r="W40" s="92">
        <v>41401473480</v>
      </c>
      <c r="X40" s="93"/>
      <c r="Y40" s="95">
        <f t="shared" si="0"/>
        <v>1.2363237474378577</v>
      </c>
      <c r="Z40" s="23"/>
      <c r="AA40" s="23"/>
    </row>
    <row r="41" spans="1:27" ht="21.75" customHeight="1">
      <c r="A41" s="94" t="s">
        <v>32</v>
      </c>
      <c r="B41" s="89"/>
      <c r="C41" s="92">
        <v>3114035</v>
      </c>
      <c r="D41" s="91"/>
      <c r="E41" s="92">
        <v>15357083836</v>
      </c>
      <c r="F41" s="91"/>
      <c r="G41" s="92">
        <v>14739125940</v>
      </c>
      <c r="H41" s="91"/>
      <c r="I41" s="92">
        <v>0</v>
      </c>
      <c r="J41" s="91"/>
      <c r="K41" s="92">
        <v>0</v>
      </c>
      <c r="L41" s="91"/>
      <c r="M41" s="92">
        <v>0</v>
      </c>
      <c r="N41" s="91"/>
      <c r="O41" s="92">
        <v>0</v>
      </c>
      <c r="P41" s="93"/>
      <c r="Q41" s="92">
        <v>3114035</v>
      </c>
      <c r="R41" s="91"/>
      <c r="S41" s="92">
        <v>7460</v>
      </c>
      <c r="T41" s="91"/>
      <c r="U41" s="92">
        <v>15357083836</v>
      </c>
      <c r="V41" s="93"/>
      <c r="W41" s="92">
        <v>23051127780</v>
      </c>
      <c r="X41" s="93"/>
      <c r="Y41" s="95">
        <f t="shared" si="0"/>
        <v>0.68834885051628625</v>
      </c>
      <c r="Z41" s="23"/>
      <c r="AA41" s="23"/>
    </row>
    <row r="42" spans="1:27" ht="21.75" customHeight="1">
      <c r="A42" s="94" t="s">
        <v>167</v>
      </c>
      <c r="B42" s="89"/>
      <c r="C42" s="92">
        <v>11520000</v>
      </c>
      <c r="D42" s="91"/>
      <c r="E42" s="92">
        <v>160352042162</v>
      </c>
      <c r="F42" s="91"/>
      <c r="G42" s="92">
        <v>170618365670</v>
      </c>
      <c r="H42" s="91"/>
      <c r="I42" s="92">
        <v>2600000</v>
      </c>
      <c r="J42" s="91"/>
      <c r="K42" s="92">
        <v>50257530147</v>
      </c>
      <c r="L42" s="91"/>
      <c r="M42" s="92">
        <v>-1</v>
      </c>
      <c r="N42" s="91"/>
      <c r="O42" s="92">
        <v>1</v>
      </c>
      <c r="P42" s="93"/>
      <c r="Q42" s="92">
        <v>14119999</v>
      </c>
      <c r="R42" s="91"/>
      <c r="S42" s="92">
        <v>19250</v>
      </c>
      <c r="T42" s="91"/>
      <c r="U42" s="92">
        <v>210609558390</v>
      </c>
      <c r="V42" s="93"/>
      <c r="W42" s="92">
        <v>269708889598</v>
      </c>
      <c r="X42" s="93"/>
      <c r="Y42" s="95">
        <f t="shared" si="0"/>
        <v>8.0540009105275647</v>
      </c>
      <c r="Z42" s="23"/>
      <c r="AA42" s="23"/>
    </row>
    <row r="43" spans="1:27" ht="21.75" customHeight="1">
      <c r="A43" s="94" t="s">
        <v>33</v>
      </c>
      <c r="B43" s="89"/>
      <c r="C43" s="92">
        <v>1043418</v>
      </c>
      <c r="D43" s="91"/>
      <c r="E43" s="92">
        <v>10440977897</v>
      </c>
      <c r="F43" s="91"/>
      <c r="G43" s="92">
        <v>19537099389</v>
      </c>
      <c r="H43" s="91"/>
      <c r="I43" s="92">
        <v>0</v>
      </c>
      <c r="J43" s="91"/>
      <c r="K43" s="92">
        <v>0</v>
      </c>
      <c r="L43" s="91"/>
      <c r="M43" s="92">
        <v>0</v>
      </c>
      <c r="N43" s="91"/>
      <c r="O43" s="92">
        <v>0</v>
      </c>
      <c r="P43" s="93"/>
      <c r="Q43" s="92">
        <v>1043418</v>
      </c>
      <c r="R43" s="91"/>
      <c r="S43" s="92">
        <v>23490</v>
      </c>
      <c r="T43" s="91"/>
      <c r="U43" s="92">
        <v>10440977897</v>
      </c>
      <c r="V43" s="93"/>
      <c r="W43" s="92">
        <v>24320427379</v>
      </c>
      <c r="X43" s="93"/>
      <c r="Y43" s="95">
        <f t="shared" si="0"/>
        <v>0.7262524588894308</v>
      </c>
      <c r="Z43" s="23"/>
      <c r="AA43" s="23"/>
    </row>
    <row r="44" spans="1:27" ht="21.75" customHeight="1">
      <c r="A44" s="94" t="s">
        <v>34</v>
      </c>
      <c r="B44" s="89"/>
      <c r="C44" s="92">
        <v>1761676</v>
      </c>
      <c r="D44" s="91"/>
      <c r="E44" s="92">
        <v>15412654051</v>
      </c>
      <c r="F44" s="91"/>
      <c r="G44" s="92">
        <v>10995286358</v>
      </c>
      <c r="H44" s="91"/>
      <c r="I44" s="92">
        <v>0</v>
      </c>
      <c r="J44" s="91"/>
      <c r="K44" s="92">
        <v>0</v>
      </c>
      <c r="L44" s="91"/>
      <c r="M44" s="92">
        <v>0</v>
      </c>
      <c r="N44" s="91"/>
      <c r="O44" s="92">
        <v>0</v>
      </c>
      <c r="P44" s="93"/>
      <c r="Q44" s="92">
        <v>1761676</v>
      </c>
      <c r="R44" s="91"/>
      <c r="S44" s="92">
        <v>8170</v>
      </c>
      <c r="T44" s="91"/>
      <c r="U44" s="92">
        <v>15412654051</v>
      </c>
      <c r="V44" s="93"/>
      <c r="W44" s="92">
        <v>14281635857</v>
      </c>
      <c r="X44" s="93"/>
      <c r="Y44" s="95">
        <f t="shared" si="0"/>
        <v>0.42647577678119686</v>
      </c>
      <c r="Z44" s="23"/>
      <c r="AA44" s="23"/>
    </row>
    <row r="45" spans="1:27" ht="21.75" customHeight="1">
      <c r="A45" s="94" t="s">
        <v>35</v>
      </c>
      <c r="B45" s="89"/>
      <c r="C45" s="92">
        <v>9346670</v>
      </c>
      <c r="D45" s="91"/>
      <c r="E45" s="92">
        <v>43291864129</v>
      </c>
      <c r="F45" s="91"/>
      <c r="G45" s="92">
        <v>88199736490</v>
      </c>
      <c r="H45" s="91"/>
      <c r="I45" s="92">
        <v>0</v>
      </c>
      <c r="J45" s="91"/>
      <c r="K45" s="92">
        <v>0</v>
      </c>
      <c r="L45" s="91"/>
      <c r="M45" s="92">
        <v>-197592</v>
      </c>
      <c r="N45" s="91"/>
      <c r="O45" s="92">
        <v>1860653212</v>
      </c>
      <c r="P45" s="93"/>
      <c r="Q45" s="92">
        <v>9149078</v>
      </c>
      <c r="R45" s="91"/>
      <c r="S45" s="92">
        <v>9840</v>
      </c>
      <c r="T45" s="91"/>
      <c r="U45" s="92">
        <v>42376658390</v>
      </c>
      <c r="V45" s="93"/>
      <c r="W45" s="92">
        <v>89331019370</v>
      </c>
      <c r="X45" s="93"/>
      <c r="Y45" s="95">
        <f t="shared" si="0"/>
        <v>2.6675876809871033</v>
      </c>
      <c r="Z45" s="23"/>
      <c r="AA45" s="23"/>
    </row>
    <row r="46" spans="1:27" ht="21.75" customHeight="1">
      <c r="A46" s="94" t="s">
        <v>168</v>
      </c>
      <c r="B46" s="89"/>
      <c r="C46" s="92">
        <v>219000</v>
      </c>
      <c r="D46" s="91"/>
      <c r="E46" s="92">
        <v>5296465925</v>
      </c>
      <c r="F46" s="91"/>
      <c r="G46" s="92">
        <v>5908580864</v>
      </c>
      <c r="H46" s="91"/>
      <c r="I46" s="92">
        <v>0</v>
      </c>
      <c r="J46" s="91"/>
      <c r="K46" s="92">
        <v>0</v>
      </c>
      <c r="L46" s="91"/>
      <c r="M46" s="92">
        <v>0</v>
      </c>
      <c r="N46" s="91"/>
      <c r="O46" s="92">
        <v>0</v>
      </c>
      <c r="P46" s="93"/>
      <c r="Q46" s="92">
        <v>219000</v>
      </c>
      <c r="R46" s="91"/>
      <c r="S46" s="92">
        <v>27420</v>
      </c>
      <c r="T46" s="91"/>
      <c r="U46" s="92">
        <v>5296465925</v>
      </c>
      <c r="V46" s="93"/>
      <c r="W46" s="92">
        <v>5958561504</v>
      </c>
      <c r="X46" s="93"/>
      <c r="Y46" s="95">
        <f t="shared" si="0"/>
        <v>0.1779335484647161</v>
      </c>
      <c r="Z46" s="23"/>
      <c r="AA46" s="23"/>
    </row>
    <row r="47" spans="1:27" ht="21.75" customHeight="1">
      <c r="A47" s="94" t="s">
        <v>198</v>
      </c>
      <c r="B47" s="89"/>
      <c r="C47" s="92">
        <v>0</v>
      </c>
      <c r="D47" s="91"/>
      <c r="E47" s="92">
        <v>0</v>
      </c>
      <c r="F47" s="91"/>
      <c r="G47" s="92">
        <v>0</v>
      </c>
      <c r="H47" s="91"/>
      <c r="I47" s="92">
        <v>1600000</v>
      </c>
      <c r="J47" s="91"/>
      <c r="K47" s="92">
        <v>21130722212</v>
      </c>
      <c r="L47" s="91"/>
      <c r="M47" s="92">
        <v>0</v>
      </c>
      <c r="N47" s="91"/>
      <c r="O47" s="92">
        <v>0</v>
      </c>
      <c r="P47" s="93"/>
      <c r="Q47" s="92">
        <v>1600000</v>
      </c>
      <c r="R47" s="91"/>
      <c r="S47" s="92">
        <v>12750</v>
      </c>
      <c r="T47" s="91"/>
      <c r="U47" s="92">
        <v>21130722212</v>
      </c>
      <c r="V47" s="93"/>
      <c r="W47" s="92">
        <v>20242308000</v>
      </c>
      <c r="X47" s="93"/>
      <c r="Y47" s="95">
        <f t="shared" si="0"/>
        <v>0.60447235278813871</v>
      </c>
      <c r="Z47" s="23"/>
      <c r="AA47" s="23"/>
    </row>
    <row r="48" spans="1:27" ht="21.75" customHeight="1">
      <c r="A48" s="94" t="s">
        <v>199</v>
      </c>
      <c r="B48" s="89"/>
      <c r="C48" s="92">
        <v>0</v>
      </c>
      <c r="D48" s="91"/>
      <c r="E48" s="92">
        <v>0</v>
      </c>
      <c r="F48" s="91"/>
      <c r="G48" s="92">
        <v>0</v>
      </c>
      <c r="H48" s="91"/>
      <c r="I48" s="92">
        <v>305</v>
      </c>
      <c r="J48" s="91"/>
      <c r="K48" s="92">
        <v>10071627</v>
      </c>
      <c r="L48" s="91"/>
      <c r="M48" s="92">
        <v>0</v>
      </c>
      <c r="N48" s="91"/>
      <c r="O48" s="92">
        <v>0</v>
      </c>
      <c r="P48" s="93"/>
      <c r="Q48" s="92">
        <v>305</v>
      </c>
      <c r="R48" s="91"/>
      <c r="S48" s="92">
        <v>33920</v>
      </c>
      <c r="T48" s="91"/>
      <c r="U48" s="92">
        <v>10071627</v>
      </c>
      <c r="V48" s="93"/>
      <c r="W48" s="92">
        <v>10265628</v>
      </c>
      <c r="X48" s="93"/>
      <c r="Y48" s="95">
        <f t="shared" si="0"/>
        <v>3.0655043436784947E-4</v>
      </c>
      <c r="Z48" s="23"/>
      <c r="AA48" s="23"/>
    </row>
    <row r="49" spans="1:27" ht="21.75" customHeight="1">
      <c r="A49" s="94" t="s">
        <v>201</v>
      </c>
      <c r="B49" s="89"/>
      <c r="C49" s="92">
        <v>0</v>
      </c>
      <c r="D49" s="91"/>
      <c r="E49" s="92">
        <v>0</v>
      </c>
      <c r="F49" s="91"/>
      <c r="G49" s="92">
        <v>0</v>
      </c>
      <c r="H49" s="91"/>
      <c r="I49" s="92">
        <v>18219000</v>
      </c>
      <c r="J49" s="91"/>
      <c r="K49" s="92">
        <v>51656346744</v>
      </c>
      <c r="L49" s="91"/>
      <c r="M49" s="92">
        <v>0</v>
      </c>
      <c r="N49" s="91"/>
      <c r="O49" s="92">
        <v>0</v>
      </c>
      <c r="P49" s="93"/>
      <c r="Q49" s="92">
        <v>18219000</v>
      </c>
      <c r="R49" s="91"/>
      <c r="S49" s="92">
        <v>2883</v>
      </c>
      <c r="T49" s="91"/>
      <c r="U49" s="92">
        <v>51656346744</v>
      </c>
      <c r="V49" s="93"/>
      <c r="W49" s="92">
        <v>52119355835</v>
      </c>
      <c r="X49" s="93"/>
      <c r="Y49" s="95">
        <f t="shared" si="0"/>
        <v>1.5563793243035653</v>
      </c>
      <c r="Z49" s="23"/>
      <c r="AA49" s="23"/>
    </row>
    <row r="50" spans="1:27" ht="21.75" customHeight="1">
      <c r="A50" s="94" t="s">
        <v>206</v>
      </c>
      <c r="B50" s="89"/>
      <c r="C50" s="92">
        <v>0</v>
      </c>
      <c r="D50" s="91"/>
      <c r="E50" s="92">
        <v>0</v>
      </c>
      <c r="F50" s="91"/>
      <c r="G50" s="92">
        <v>0</v>
      </c>
      <c r="H50" s="91"/>
      <c r="I50" s="92">
        <v>1500000</v>
      </c>
      <c r="J50" s="91"/>
      <c r="K50" s="92">
        <v>7730385200</v>
      </c>
      <c r="L50" s="91"/>
      <c r="M50" s="92">
        <v>0</v>
      </c>
      <c r="N50" s="91"/>
      <c r="O50" s="92">
        <v>0</v>
      </c>
      <c r="P50" s="93"/>
      <c r="Q50" s="92">
        <v>1500000</v>
      </c>
      <c r="R50" s="91"/>
      <c r="S50" s="92">
        <v>5760</v>
      </c>
      <c r="T50" s="91"/>
      <c r="U50" s="92">
        <v>7730385200</v>
      </c>
      <c r="V50" s="93"/>
      <c r="W50" s="92">
        <v>8573212800</v>
      </c>
      <c r="X50" s="93"/>
      <c r="Y50" s="95">
        <f t="shared" si="0"/>
        <v>0.25601182000438816</v>
      </c>
      <c r="Z50" s="23"/>
      <c r="AA50" s="23"/>
    </row>
    <row r="51" spans="1:27" ht="21.75" customHeight="1">
      <c r="A51" s="94" t="s">
        <v>207</v>
      </c>
      <c r="B51" s="89"/>
      <c r="C51" s="92">
        <v>0</v>
      </c>
      <c r="D51" s="91"/>
      <c r="E51" s="92">
        <v>0</v>
      </c>
      <c r="F51" s="91"/>
      <c r="G51" s="92">
        <v>0</v>
      </c>
      <c r="H51" s="91"/>
      <c r="I51" s="92">
        <v>300000</v>
      </c>
      <c r="J51" s="91"/>
      <c r="K51" s="92">
        <v>6028015934</v>
      </c>
      <c r="L51" s="91"/>
      <c r="M51" s="92">
        <v>0</v>
      </c>
      <c r="N51" s="91"/>
      <c r="O51" s="92">
        <v>0</v>
      </c>
      <c r="P51" s="93"/>
      <c r="Q51" s="92">
        <v>300000</v>
      </c>
      <c r="R51" s="91"/>
      <c r="S51" s="92">
        <v>22020</v>
      </c>
      <c r="T51" s="91"/>
      <c r="U51" s="92">
        <v>6028015934</v>
      </c>
      <c r="V51" s="93"/>
      <c r="W51" s="92">
        <v>6554935620</v>
      </c>
      <c r="X51" s="93"/>
      <c r="Y51" s="95">
        <f t="shared" si="0"/>
        <v>0.19574237071168843</v>
      </c>
      <c r="Z51" s="23"/>
      <c r="AA51" s="23"/>
    </row>
    <row r="52" spans="1:27" ht="21.75" customHeight="1">
      <c r="A52" s="94" t="s">
        <v>208</v>
      </c>
      <c r="B52" s="89"/>
      <c r="C52" s="92">
        <v>0</v>
      </c>
      <c r="D52" s="91"/>
      <c r="E52" s="92">
        <v>0</v>
      </c>
      <c r="F52" s="91"/>
      <c r="G52" s="92">
        <v>0</v>
      </c>
      <c r="H52" s="91"/>
      <c r="I52" s="92">
        <v>39000000</v>
      </c>
      <c r="J52" s="91"/>
      <c r="K52" s="92">
        <v>50525241246</v>
      </c>
      <c r="L52" s="91"/>
      <c r="M52" s="92">
        <v>0</v>
      </c>
      <c r="N52" s="91"/>
      <c r="O52" s="92">
        <v>0</v>
      </c>
      <c r="P52" s="93"/>
      <c r="Q52" s="92">
        <v>39000000</v>
      </c>
      <c r="R52" s="91"/>
      <c r="S52" s="92">
        <v>1369</v>
      </c>
      <c r="T52" s="91"/>
      <c r="U52" s="92">
        <v>50525241246</v>
      </c>
      <c r="V52" s="93"/>
      <c r="W52" s="92">
        <v>52978287570</v>
      </c>
      <c r="X52" s="93"/>
      <c r="Y52" s="95">
        <f t="shared" si="0"/>
        <v>1.5820285974368389</v>
      </c>
      <c r="Z52" s="23"/>
      <c r="AA52" s="23"/>
    </row>
    <row r="53" spans="1:27" ht="21.75" customHeight="1">
      <c r="A53" s="94" t="s">
        <v>210</v>
      </c>
      <c r="B53" s="89"/>
      <c r="C53" s="92">
        <v>0</v>
      </c>
      <c r="D53" s="91"/>
      <c r="E53" s="92">
        <v>0</v>
      </c>
      <c r="F53" s="91"/>
      <c r="G53" s="92">
        <v>0</v>
      </c>
      <c r="H53" s="91"/>
      <c r="I53" s="92">
        <v>20000001</v>
      </c>
      <c r="J53" s="91"/>
      <c r="K53" s="92">
        <v>15287763869</v>
      </c>
      <c r="L53" s="91"/>
      <c r="M53" s="92">
        <v>-1</v>
      </c>
      <c r="N53" s="91"/>
      <c r="O53" s="92">
        <v>1</v>
      </c>
      <c r="P53" s="93"/>
      <c r="Q53" s="92">
        <v>20000000</v>
      </c>
      <c r="R53" s="91"/>
      <c r="S53" s="92">
        <v>1332</v>
      </c>
      <c r="T53" s="91"/>
      <c r="U53" s="92">
        <v>20600027161</v>
      </c>
      <c r="V53" s="93"/>
      <c r="W53" s="92">
        <v>26434072800</v>
      </c>
      <c r="X53" s="93"/>
      <c r="Y53" s="95">
        <f t="shared" si="0"/>
        <v>0.7893697783468635</v>
      </c>
      <c r="Z53" s="23"/>
      <c r="AA53" s="23"/>
    </row>
    <row r="54" spans="1:27" ht="21.75" customHeight="1">
      <c r="A54" s="94" t="s">
        <v>212</v>
      </c>
      <c r="B54" s="89"/>
      <c r="C54" s="92">
        <v>0</v>
      </c>
      <c r="D54" s="91"/>
      <c r="E54" s="92">
        <v>0</v>
      </c>
      <c r="F54" s="91"/>
      <c r="G54" s="92">
        <v>0</v>
      </c>
      <c r="H54" s="91"/>
      <c r="I54" s="92">
        <v>1000000</v>
      </c>
      <c r="J54" s="91"/>
      <c r="K54" s="92">
        <v>20123064996</v>
      </c>
      <c r="L54" s="91"/>
      <c r="M54" s="92">
        <v>-1000000</v>
      </c>
      <c r="N54" s="91"/>
      <c r="O54" s="92">
        <v>20483429688</v>
      </c>
      <c r="P54" s="93"/>
      <c r="Q54" s="92">
        <v>0</v>
      </c>
      <c r="R54" s="91"/>
      <c r="S54" s="92">
        <v>0</v>
      </c>
      <c r="T54" s="91"/>
      <c r="U54" s="92">
        <v>0</v>
      </c>
      <c r="V54" s="93"/>
      <c r="W54" s="92">
        <v>0</v>
      </c>
      <c r="X54" s="93"/>
      <c r="Y54" s="95">
        <f t="shared" si="0"/>
        <v>0</v>
      </c>
      <c r="Z54" s="23"/>
      <c r="AA54" s="23"/>
    </row>
    <row r="55" spans="1:27" ht="21.75" customHeight="1">
      <c r="A55" s="94" t="s">
        <v>213</v>
      </c>
      <c r="B55" s="89"/>
      <c r="C55" s="92">
        <v>0</v>
      </c>
      <c r="D55" s="91"/>
      <c r="E55" s="92">
        <v>0</v>
      </c>
      <c r="F55" s="91"/>
      <c r="G55" s="92">
        <v>0</v>
      </c>
      <c r="H55" s="91"/>
      <c r="I55" s="92">
        <v>5000000</v>
      </c>
      <c r="J55" s="91"/>
      <c r="K55" s="92">
        <v>7820779162</v>
      </c>
      <c r="L55" s="91"/>
      <c r="M55" s="92">
        <v>0</v>
      </c>
      <c r="N55" s="91"/>
      <c r="O55" s="92">
        <v>0</v>
      </c>
      <c r="P55" s="93"/>
      <c r="Q55" s="92">
        <v>5000000</v>
      </c>
      <c r="R55" s="91"/>
      <c r="S55" s="92">
        <v>1996</v>
      </c>
      <c r="T55" s="91"/>
      <c r="U55" s="92">
        <v>7820779162</v>
      </c>
      <c r="V55" s="93"/>
      <c r="W55" s="92">
        <v>9902854600</v>
      </c>
      <c r="X55" s="93"/>
      <c r="Y55" s="95">
        <f t="shared" si="0"/>
        <v>0.29571735690321688</v>
      </c>
      <c r="Z55" s="23"/>
      <c r="AA55" s="23"/>
    </row>
    <row r="56" spans="1:27" ht="21.75" customHeight="1">
      <c r="A56" s="94" t="s">
        <v>214</v>
      </c>
      <c r="B56" s="89"/>
      <c r="C56" s="92">
        <v>0</v>
      </c>
      <c r="D56" s="91"/>
      <c r="E56" s="92">
        <v>0</v>
      </c>
      <c r="F56" s="91"/>
      <c r="G56" s="92">
        <v>0</v>
      </c>
      <c r="H56" s="91"/>
      <c r="I56" s="92">
        <v>810000</v>
      </c>
      <c r="J56" s="91"/>
      <c r="K56" s="92">
        <v>28206241596</v>
      </c>
      <c r="L56" s="91"/>
      <c r="M56" s="92">
        <v>0</v>
      </c>
      <c r="N56" s="91"/>
      <c r="O56" s="92">
        <v>0</v>
      </c>
      <c r="P56" s="93"/>
      <c r="Q56" s="92">
        <v>810000</v>
      </c>
      <c r="R56" s="91"/>
      <c r="S56" s="92">
        <v>51880</v>
      </c>
      <c r="T56" s="91"/>
      <c r="U56" s="92">
        <v>28206241596</v>
      </c>
      <c r="V56" s="93"/>
      <c r="W56" s="92">
        <v>41697963756</v>
      </c>
      <c r="X56" s="93"/>
      <c r="Y56" s="95">
        <f t="shared" si="0"/>
        <v>1.2451774895463428</v>
      </c>
      <c r="Z56" s="23"/>
      <c r="AA56" s="23"/>
    </row>
    <row r="57" spans="1:27" ht="21.75" customHeight="1">
      <c r="A57" s="94" t="s">
        <v>202</v>
      </c>
      <c r="B57" s="89"/>
      <c r="C57" s="92">
        <v>0</v>
      </c>
      <c r="D57" s="91"/>
      <c r="E57" s="92">
        <v>0</v>
      </c>
      <c r="F57" s="91"/>
      <c r="G57" s="92">
        <v>0</v>
      </c>
      <c r="H57" s="91"/>
      <c r="I57" s="92">
        <v>5343</v>
      </c>
      <c r="J57" s="91"/>
      <c r="K57" s="92">
        <v>134986482540.93201</v>
      </c>
      <c r="L57" s="91"/>
      <c r="M57" s="92">
        <v>0</v>
      </c>
      <c r="N57" s="91"/>
      <c r="O57" s="92">
        <v>0</v>
      </c>
      <c r="P57" s="93"/>
      <c r="Q57" s="92">
        <v>5343</v>
      </c>
      <c r="R57" s="91"/>
      <c r="S57" s="92">
        <v>28000000</v>
      </c>
      <c r="T57" s="91"/>
      <c r="U57" s="92">
        <v>134986482541</v>
      </c>
      <c r="V57" s="93"/>
      <c r="W57" s="92">
        <v>149244950400</v>
      </c>
      <c r="X57" s="93"/>
      <c r="Y57" s="95">
        <f t="shared" si="0"/>
        <v>4.4567272817920296</v>
      </c>
      <c r="Z57" s="23"/>
      <c r="AA57" s="23"/>
    </row>
    <row r="58" spans="1:27" ht="21.75" customHeight="1">
      <c r="A58" s="94" t="s">
        <v>209</v>
      </c>
      <c r="B58" s="89"/>
      <c r="C58" s="92">
        <v>0</v>
      </c>
      <c r="D58" s="91"/>
      <c r="E58" s="92">
        <v>0</v>
      </c>
      <c r="F58" s="91"/>
      <c r="G58" s="92">
        <v>0</v>
      </c>
      <c r="H58" s="91"/>
      <c r="I58" s="92">
        <v>18613000</v>
      </c>
      <c r="J58" s="91"/>
      <c r="K58" s="92">
        <v>10950235417</v>
      </c>
      <c r="L58" s="91"/>
      <c r="M58" s="92">
        <v>0</v>
      </c>
      <c r="N58" s="91"/>
      <c r="O58" s="92">
        <v>0</v>
      </c>
      <c r="P58" s="93"/>
      <c r="Q58" s="92">
        <v>18613000</v>
      </c>
      <c r="R58" s="91"/>
      <c r="S58" s="92">
        <v>723</v>
      </c>
      <c r="T58" s="91"/>
      <c r="U58" s="92">
        <v>10950235417</v>
      </c>
      <c r="V58" s="93"/>
      <c r="W58" s="92">
        <v>13447106100</v>
      </c>
      <c r="X58" s="93"/>
      <c r="Y58" s="95">
        <f t="shared" si="0"/>
        <v>0.40155519135756318</v>
      </c>
      <c r="Z58" s="23"/>
      <c r="AA58" s="23"/>
    </row>
    <row r="59" spans="1:27" ht="21.75" customHeight="1">
      <c r="A59" s="94" t="s">
        <v>211</v>
      </c>
      <c r="B59" s="89"/>
      <c r="C59" s="92">
        <v>0</v>
      </c>
      <c r="D59" s="91"/>
      <c r="E59" s="92">
        <v>0</v>
      </c>
      <c r="F59" s="91"/>
      <c r="G59" s="92">
        <v>0</v>
      </c>
      <c r="H59" s="91"/>
      <c r="I59" s="92">
        <v>24678000</v>
      </c>
      <c r="J59" s="91"/>
      <c r="K59" s="92">
        <v>17093526297</v>
      </c>
      <c r="L59" s="91"/>
      <c r="M59" s="92">
        <v>-24678000</v>
      </c>
      <c r="N59" s="91"/>
      <c r="O59" s="92">
        <v>17138346706</v>
      </c>
      <c r="P59" s="93"/>
      <c r="Q59" s="92">
        <v>0</v>
      </c>
      <c r="R59" s="91"/>
      <c r="S59" s="92">
        <v>0</v>
      </c>
      <c r="T59" s="91"/>
      <c r="U59" s="92">
        <v>0</v>
      </c>
      <c r="V59" s="93"/>
      <c r="W59" s="92">
        <v>0</v>
      </c>
      <c r="X59" s="93"/>
      <c r="Y59" s="95">
        <f t="shared" si="0"/>
        <v>0</v>
      </c>
      <c r="Z59" s="23"/>
      <c r="AA59" s="23"/>
    </row>
    <row r="60" spans="1:27" ht="21.75" customHeight="1">
      <c r="A60" s="94" t="s">
        <v>203</v>
      </c>
      <c r="B60" s="89"/>
      <c r="C60" s="92">
        <v>0</v>
      </c>
      <c r="D60" s="91"/>
      <c r="E60" s="92">
        <v>0</v>
      </c>
      <c r="F60" s="91"/>
      <c r="G60" s="92">
        <v>0</v>
      </c>
      <c r="H60" s="91"/>
      <c r="I60" s="92">
        <v>39000000</v>
      </c>
      <c r="J60" s="91"/>
      <c r="K60" s="92">
        <v>468350844</v>
      </c>
      <c r="L60" s="91"/>
      <c r="M60" s="92">
        <v>0</v>
      </c>
      <c r="N60" s="91"/>
      <c r="O60" s="92">
        <v>0</v>
      </c>
      <c r="P60" s="93"/>
      <c r="Q60" s="92">
        <v>39000000</v>
      </c>
      <c r="R60" s="91"/>
      <c r="S60" s="92">
        <v>4</v>
      </c>
      <c r="T60" s="91"/>
      <c r="U60" s="92">
        <v>468350844</v>
      </c>
      <c r="V60" s="93"/>
      <c r="W60" s="92">
        <v>155883000</v>
      </c>
      <c r="X60" s="93"/>
      <c r="Y60" s="95">
        <f t="shared" si="0"/>
        <v>4.6549515880142433E-3</v>
      </c>
      <c r="Z60" s="23"/>
      <c r="AA60" s="23"/>
    </row>
    <row r="61" spans="1:27" ht="21.75" customHeight="1">
      <c r="A61" s="94" t="s">
        <v>204</v>
      </c>
      <c r="B61" s="89"/>
      <c r="C61" s="92">
        <v>0</v>
      </c>
      <c r="D61" s="91"/>
      <c r="E61" s="92">
        <v>0</v>
      </c>
      <c r="F61" s="91"/>
      <c r="G61" s="92">
        <v>0</v>
      </c>
      <c r="H61" s="91"/>
      <c r="I61" s="92">
        <v>25000000</v>
      </c>
      <c r="J61" s="91"/>
      <c r="K61" s="92">
        <v>1776331250</v>
      </c>
      <c r="L61" s="91"/>
      <c r="M61" s="92">
        <v>0</v>
      </c>
      <c r="N61" s="91"/>
      <c r="O61" s="92">
        <v>0</v>
      </c>
      <c r="P61" s="93"/>
      <c r="Q61" s="92">
        <v>25000000</v>
      </c>
      <c r="R61" s="91"/>
      <c r="S61" s="92">
        <v>70</v>
      </c>
      <c r="T61" s="91"/>
      <c r="U61" s="92">
        <v>1776331250</v>
      </c>
      <c r="V61" s="93"/>
      <c r="W61" s="92">
        <v>1748687500</v>
      </c>
      <c r="X61" s="93"/>
      <c r="Y61" s="95">
        <f>W61/3348756631570*100</f>
        <v>5.2219008198877724E-2</v>
      </c>
      <c r="Z61" s="23"/>
      <c r="AA61" s="23"/>
    </row>
    <row r="62" spans="1:27" ht="21.75" customHeight="1">
      <c r="A62" s="94" t="s">
        <v>205</v>
      </c>
      <c r="B62" s="89"/>
      <c r="C62" s="92">
        <v>0</v>
      </c>
      <c r="D62" s="91"/>
      <c r="E62" s="92">
        <v>0</v>
      </c>
      <c r="F62" s="91"/>
      <c r="G62" s="92">
        <v>0</v>
      </c>
      <c r="H62" s="91"/>
      <c r="I62" s="92">
        <v>18219000</v>
      </c>
      <c r="J62" s="91"/>
      <c r="K62" s="92">
        <v>218791824</v>
      </c>
      <c r="L62" s="91"/>
      <c r="M62" s="92">
        <v>0</v>
      </c>
      <c r="N62" s="91"/>
      <c r="O62" s="92">
        <v>0</v>
      </c>
      <c r="P62" s="93"/>
      <c r="Q62" s="92">
        <v>18219000</v>
      </c>
      <c r="R62" s="91"/>
      <c r="S62" s="92">
        <v>3</v>
      </c>
      <c r="T62" s="91"/>
      <c r="U62" s="92">
        <v>218791824</v>
      </c>
      <c r="V62" s="93"/>
      <c r="W62" s="92">
        <v>54616007</v>
      </c>
      <c r="X62" s="93"/>
      <c r="Y62" s="95">
        <f t="shared" si="0"/>
        <v>1.6309338960351482E-3</v>
      </c>
      <c r="Z62" s="23"/>
      <c r="AA62" s="23"/>
    </row>
    <row r="63" spans="1:27" ht="21.75" customHeight="1">
      <c r="A63" s="94" t="s">
        <v>200</v>
      </c>
      <c r="B63" s="89"/>
      <c r="C63" s="92">
        <v>0</v>
      </c>
      <c r="D63" s="91"/>
      <c r="E63" s="92">
        <v>0</v>
      </c>
      <c r="F63" s="91"/>
      <c r="G63" s="92">
        <v>0</v>
      </c>
      <c r="H63" s="91"/>
      <c r="I63" s="92">
        <v>8197000</v>
      </c>
      <c r="J63" s="91"/>
      <c r="K63" s="92">
        <v>25969578548</v>
      </c>
      <c r="L63" s="91"/>
      <c r="M63" s="92">
        <v>0</v>
      </c>
      <c r="N63" s="91"/>
      <c r="O63" s="92">
        <v>0</v>
      </c>
      <c r="P63" s="93"/>
      <c r="Q63" s="92">
        <v>8197000</v>
      </c>
      <c r="R63" s="91"/>
      <c r="S63" s="92">
        <v>3200</v>
      </c>
      <c r="T63" s="91"/>
      <c r="U63" s="92">
        <v>25969578548</v>
      </c>
      <c r="V63" s="93"/>
      <c r="W63" s="92">
        <v>26210727200</v>
      </c>
      <c r="X63" s="93"/>
      <c r="Y63" s="95">
        <f t="shared" si="0"/>
        <v>0.78270027009133858</v>
      </c>
      <c r="Z63" s="23"/>
      <c r="AA63" s="23"/>
    </row>
    <row r="64" spans="1:27" ht="21.75" customHeight="1" thickBot="1">
      <c r="A64" s="20"/>
      <c r="B64" s="20"/>
      <c r="C64" s="76"/>
      <c r="D64" s="72"/>
      <c r="E64" s="77">
        <f>SUM(E9:E63)</f>
        <v>1632053007380</v>
      </c>
      <c r="F64" s="72"/>
      <c r="G64" s="77">
        <f>SUM(G9:G63)</f>
        <v>2042008500223</v>
      </c>
      <c r="H64" s="72"/>
      <c r="I64" s="76"/>
      <c r="J64" s="72"/>
      <c r="K64" s="77">
        <f>SUM(K9:K63)</f>
        <v>852356128575.93201</v>
      </c>
      <c r="L64" s="72"/>
      <c r="M64" s="76"/>
      <c r="N64" s="72"/>
      <c r="O64" s="77">
        <f>SUM(O9:O63)</f>
        <v>65908318127</v>
      </c>
      <c r="P64" s="72"/>
      <c r="Q64" s="76"/>
      <c r="R64" s="72"/>
      <c r="S64" s="76"/>
      <c r="T64" s="72"/>
      <c r="U64" s="77">
        <f>SUM(U9:U63)</f>
        <v>2417001994533</v>
      </c>
      <c r="V64" s="72"/>
      <c r="W64" s="77">
        <f>SUM(W9:W63)</f>
        <v>3276703571739</v>
      </c>
      <c r="X64" s="73"/>
      <c r="Y64" s="78">
        <f>SUM(Y9:Y63)</f>
        <v>97.848363803098465</v>
      </c>
    </row>
    <row r="65" spans="5:23" ht="13.5" thickTop="1"/>
    <row r="66" spans="5:23">
      <c r="E66" s="23"/>
      <c r="G66" s="23"/>
      <c r="U66" s="64"/>
      <c r="W66" s="64"/>
    </row>
    <row r="67" spans="5:23">
      <c r="E67" s="23"/>
      <c r="G67" s="23"/>
      <c r="U67" s="64"/>
      <c r="W67" s="64"/>
    </row>
    <row r="68" spans="5:23">
      <c r="G68" s="23"/>
      <c r="U68" s="64"/>
      <c r="W68" s="64"/>
    </row>
    <row r="69" spans="5:23">
      <c r="E69" s="23"/>
      <c r="G69" s="23"/>
      <c r="U69" s="64"/>
      <c r="W69" s="64"/>
    </row>
    <row r="70" spans="5:23">
      <c r="U70" s="64"/>
      <c r="W70" s="64"/>
    </row>
    <row r="71" spans="5:23">
      <c r="U71" s="23"/>
      <c r="W71" s="23"/>
    </row>
  </sheetData>
  <mergeCells count="10">
    <mergeCell ref="I6:O6"/>
    <mergeCell ref="Q6:Y6"/>
    <mergeCell ref="I7:K7"/>
    <mergeCell ref="M7:O7"/>
    <mergeCell ref="C6:G6"/>
    <mergeCell ref="A1:Y1"/>
    <mergeCell ref="A2:Y2"/>
    <mergeCell ref="A3:Y3"/>
    <mergeCell ref="A4:Y4"/>
    <mergeCell ref="A5:Y5"/>
  </mergeCells>
  <pageMargins left="0.39" right="0.39" top="0.39" bottom="0.39" header="0" footer="0"/>
  <pageSetup scale="5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F1677-D4BB-4E59-8D8D-0BD0D74903BF}">
  <sheetPr>
    <pageSetUpPr fitToPage="1"/>
  </sheetPr>
  <dimension ref="A1:AW68"/>
  <sheetViews>
    <sheetView rightToLeft="1" view="pageBreakPreview" topLeftCell="D1" zoomScale="124" zoomScaleNormal="100" zoomScaleSheetLayoutView="124" workbookViewId="0">
      <selection activeCell="BB24" sqref="BB24"/>
    </sheetView>
  </sheetViews>
  <sheetFormatPr defaultRowHeight="12.75"/>
  <cols>
    <col min="1" max="1" width="13" style="96" customWidth="1"/>
    <col min="2" max="2" width="1.28515625" style="96" customWidth="1"/>
    <col min="3" max="3" width="13" style="96" customWidth="1"/>
    <col min="4" max="4" width="1.28515625" style="96" customWidth="1"/>
    <col min="5" max="5" width="13" style="96" customWidth="1"/>
    <col min="6" max="6" width="1.28515625" style="96" customWidth="1"/>
    <col min="7" max="7" width="6.42578125" style="96" customWidth="1"/>
    <col min="8" max="8" width="1.28515625" style="96" customWidth="1"/>
    <col min="9" max="9" width="5.140625" style="96" customWidth="1"/>
    <col min="10" max="10" width="1.28515625" style="96" customWidth="1"/>
    <col min="11" max="11" width="9.140625" style="96" customWidth="1"/>
    <col min="12" max="12" width="1.28515625" style="96" customWidth="1"/>
    <col min="13" max="13" width="2.5703125" style="96" customWidth="1"/>
    <col min="14" max="14" width="1.28515625" style="96" customWidth="1"/>
    <col min="15" max="15" width="9.140625" style="96" customWidth="1"/>
    <col min="16" max="16" width="1.28515625" style="96" customWidth="1"/>
    <col min="17" max="17" width="2.5703125" style="96" customWidth="1"/>
    <col min="18" max="20" width="1.28515625" style="96" customWidth="1"/>
    <col min="21" max="21" width="6.42578125" style="96" customWidth="1"/>
    <col min="22" max="22" width="1.28515625" style="96" customWidth="1"/>
    <col min="23" max="23" width="2.5703125" style="96" customWidth="1"/>
    <col min="24" max="26" width="1.28515625" style="96" customWidth="1"/>
    <col min="27" max="27" width="6.42578125" style="96" customWidth="1"/>
    <col min="28" max="28" width="1.28515625" style="96" customWidth="1"/>
    <col min="29" max="29" width="2.5703125" style="96" customWidth="1"/>
    <col min="30" max="32" width="1.28515625" style="96" customWidth="1"/>
    <col min="33" max="33" width="9.140625" style="96" customWidth="1"/>
    <col min="34" max="34" width="1.28515625" style="96" customWidth="1"/>
    <col min="35" max="35" width="2.5703125" style="96" customWidth="1"/>
    <col min="36" max="36" width="1.28515625" style="96" customWidth="1"/>
    <col min="37" max="37" width="9.140625" style="96" customWidth="1"/>
    <col min="38" max="38" width="1.28515625" style="96" customWidth="1"/>
    <col min="39" max="39" width="2.5703125" style="96" customWidth="1"/>
    <col min="40" max="40" width="1.28515625" style="96" customWidth="1"/>
    <col min="41" max="41" width="9.140625" style="96" customWidth="1"/>
    <col min="42" max="42" width="1.28515625" style="96" customWidth="1"/>
    <col min="43" max="43" width="2.5703125" style="96" customWidth="1"/>
    <col min="44" max="44" width="1.28515625" style="96" customWidth="1"/>
    <col min="45" max="45" width="11.7109375" style="96" customWidth="1"/>
    <col min="46" max="47" width="1.28515625" style="96" customWidth="1"/>
    <col min="48" max="48" width="13" style="96" customWidth="1"/>
    <col min="49" max="49" width="7.7109375" style="96" customWidth="1"/>
    <col min="50" max="50" width="0.28515625" style="96" customWidth="1"/>
    <col min="51" max="16384" width="9.140625" style="96"/>
  </cols>
  <sheetData>
    <row r="1" spans="1:49" ht="29.1" customHeight="1">
      <c r="A1" s="129" t="str">
        <f>سهام!A1</f>
        <v>صندوق سرمایه‌گذاری افق دماوند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  <c r="AI1" s="129"/>
      <c r="AJ1" s="129"/>
      <c r="AK1" s="129"/>
      <c r="AL1" s="129"/>
      <c r="AM1" s="129"/>
      <c r="AN1" s="129"/>
      <c r="AO1" s="129"/>
      <c r="AP1" s="129"/>
      <c r="AQ1" s="129"/>
      <c r="AR1" s="129"/>
      <c r="AS1" s="129"/>
      <c r="AT1" s="129"/>
      <c r="AU1" s="129"/>
      <c r="AV1" s="129"/>
      <c r="AW1" s="129"/>
    </row>
    <row r="2" spans="1:49" ht="21.75" customHeight="1">
      <c r="A2" s="129" t="s">
        <v>0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29"/>
      <c r="AJ2" s="129"/>
      <c r="AK2" s="129"/>
      <c r="AL2" s="129"/>
      <c r="AM2" s="129"/>
      <c r="AN2" s="129"/>
      <c r="AO2" s="129"/>
      <c r="AP2" s="129"/>
      <c r="AQ2" s="129"/>
      <c r="AR2" s="129"/>
      <c r="AS2" s="129"/>
      <c r="AT2" s="129"/>
      <c r="AU2" s="129"/>
      <c r="AV2" s="129"/>
      <c r="AW2" s="129"/>
    </row>
    <row r="3" spans="1:49" ht="21.75" customHeight="1">
      <c r="A3" s="129" t="str">
        <f>سهام!A3</f>
        <v>برای ماه منتهی به 1405/05/31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</row>
    <row r="4" spans="1:49" ht="14.45" customHeight="1">
      <c r="A4" s="130" t="s">
        <v>151</v>
      </c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  <c r="AA4" s="130"/>
      <c r="AB4" s="130"/>
      <c r="AC4" s="130"/>
      <c r="AD4" s="130"/>
      <c r="AE4" s="130"/>
      <c r="AF4" s="130"/>
      <c r="AG4" s="130"/>
      <c r="AH4" s="130"/>
      <c r="AI4" s="130"/>
      <c r="AJ4" s="130"/>
      <c r="AK4" s="130"/>
      <c r="AL4" s="130"/>
      <c r="AM4" s="130"/>
      <c r="AN4" s="130"/>
      <c r="AO4" s="130"/>
      <c r="AP4" s="130"/>
      <c r="AQ4" s="130"/>
      <c r="AR4" s="130"/>
      <c r="AS4" s="130"/>
      <c r="AT4" s="130"/>
      <c r="AU4" s="130"/>
      <c r="AV4" s="130"/>
      <c r="AW4" s="130"/>
    </row>
    <row r="5" spans="1:49" ht="14.45" customHeight="1">
      <c r="C5" s="131" t="s">
        <v>157</v>
      </c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Y5" s="131" t="s">
        <v>197</v>
      </c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1"/>
      <c r="AV5" s="131"/>
    </row>
    <row r="6" spans="1:49" ht="14.45" customHeight="1">
      <c r="A6" s="101" t="s">
        <v>37</v>
      </c>
      <c r="C6" s="99" t="s">
        <v>145</v>
      </c>
      <c r="D6" s="100"/>
      <c r="E6" s="99" t="s">
        <v>138</v>
      </c>
      <c r="F6" s="100"/>
      <c r="G6" s="128" t="s">
        <v>144</v>
      </c>
      <c r="H6" s="128"/>
      <c r="I6" s="128"/>
      <c r="J6" s="100"/>
      <c r="K6" s="128" t="s">
        <v>41</v>
      </c>
      <c r="L6" s="128"/>
      <c r="M6" s="128"/>
      <c r="N6" s="100"/>
      <c r="O6" s="128" t="s">
        <v>38</v>
      </c>
      <c r="P6" s="128"/>
      <c r="Q6" s="128"/>
      <c r="R6" s="100"/>
      <c r="S6" s="128" t="s">
        <v>39</v>
      </c>
      <c r="T6" s="128"/>
      <c r="U6" s="128"/>
      <c r="V6" s="128"/>
      <c r="W6" s="128"/>
      <c r="Y6" s="128" t="s">
        <v>145</v>
      </c>
      <c r="Z6" s="128"/>
      <c r="AA6" s="128"/>
      <c r="AB6" s="128"/>
      <c r="AC6" s="128"/>
      <c r="AD6" s="100"/>
      <c r="AE6" s="128" t="s">
        <v>138</v>
      </c>
      <c r="AF6" s="128"/>
      <c r="AG6" s="128"/>
      <c r="AH6" s="128"/>
      <c r="AI6" s="128"/>
      <c r="AJ6" s="100"/>
      <c r="AK6" s="128" t="s">
        <v>144</v>
      </c>
      <c r="AL6" s="128"/>
      <c r="AM6" s="128"/>
      <c r="AN6" s="100"/>
      <c r="AO6" s="128" t="s">
        <v>41</v>
      </c>
      <c r="AP6" s="128"/>
      <c r="AQ6" s="128"/>
      <c r="AR6" s="100"/>
      <c r="AS6" s="128" t="s">
        <v>38</v>
      </c>
      <c r="AT6" s="128"/>
      <c r="AU6" s="100"/>
      <c r="AV6" s="99" t="s">
        <v>39</v>
      </c>
    </row>
    <row r="7" spans="1:49" ht="21.75" customHeight="1">
      <c r="A7" s="98" t="s">
        <v>175</v>
      </c>
      <c r="C7" s="98" t="s">
        <v>142</v>
      </c>
      <c r="E7" s="98" t="s">
        <v>141</v>
      </c>
      <c r="G7" s="126" t="s">
        <v>140</v>
      </c>
      <c r="H7" s="126"/>
      <c r="I7" s="126"/>
      <c r="K7" s="127">
        <v>35961000</v>
      </c>
      <c r="L7" s="127"/>
      <c r="M7" s="127"/>
      <c r="O7" s="127">
        <v>600</v>
      </c>
      <c r="P7" s="127"/>
      <c r="Q7" s="127"/>
      <c r="S7" s="126" t="s">
        <v>179</v>
      </c>
      <c r="T7" s="126"/>
      <c r="U7" s="126"/>
      <c r="V7" s="126"/>
      <c r="W7" s="126"/>
      <c r="Y7" s="126" t="s">
        <v>142</v>
      </c>
      <c r="Z7" s="126"/>
      <c r="AA7" s="126"/>
      <c r="AB7" s="126"/>
      <c r="AC7" s="126"/>
      <c r="AE7" s="126" t="s">
        <v>140</v>
      </c>
      <c r="AF7" s="126"/>
      <c r="AG7" s="126"/>
      <c r="AH7" s="126"/>
      <c r="AI7" s="126"/>
      <c r="AK7" s="126" t="s">
        <v>140</v>
      </c>
      <c r="AL7" s="126"/>
      <c r="AM7" s="126"/>
      <c r="AO7" s="127">
        <v>0</v>
      </c>
      <c r="AP7" s="127"/>
      <c r="AQ7" s="127"/>
      <c r="AS7" s="127">
        <v>0</v>
      </c>
      <c r="AT7" s="127"/>
      <c r="AV7" s="98" t="s">
        <v>140</v>
      </c>
    </row>
    <row r="8" spans="1:49" ht="21.75" customHeight="1">
      <c r="A8" s="97" t="s">
        <v>176</v>
      </c>
      <c r="C8" s="97" t="s">
        <v>142</v>
      </c>
      <c r="E8" s="97" t="s">
        <v>141</v>
      </c>
      <c r="G8" s="124" t="s">
        <v>140</v>
      </c>
      <c r="H8" s="124"/>
      <c r="I8" s="124"/>
      <c r="K8" s="125">
        <v>4000000</v>
      </c>
      <c r="L8" s="125"/>
      <c r="M8" s="125"/>
      <c r="O8" s="125">
        <v>550</v>
      </c>
      <c r="P8" s="125"/>
      <c r="Q8" s="125"/>
      <c r="S8" s="124" t="s">
        <v>179</v>
      </c>
      <c r="T8" s="124"/>
      <c r="U8" s="124"/>
      <c r="V8" s="124"/>
      <c r="W8" s="124"/>
      <c r="Y8" s="124" t="s">
        <v>142</v>
      </c>
      <c r="Z8" s="124"/>
      <c r="AA8" s="124"/>
      <c r="AB8" s="124"/>
      <c r="AC8" s="124"/>
      <c r="AE8" s="124" t="s">
        <v>140</v>
      </c>
      <c r="AF8" s="124"/>
      <c r="AG8" s="124"/>
      <c r="AH8" s="124"/>
      <c r="AI8" s="124"/>
      <c r="AK8" s="124" t="s">
        <v>140</v>
      </c>
      <c r="AL8" s="124"/>
      <c r="AM8" s="124"/>
      <c r="AO8" s="125">
        <v>0</v>
      </c>
      <c r="AP8" s="125"/>
      <c r="AQ8" s="125"/>
      <c r="AS8" s="125">
        <v>0</v>
      </c>
      <c r="AT8" s="125"/>
      <c r="AV8" s="97" t="s">
        <v>140</v>
      </c>
    </row>
    <row r="9" spans="1:49" ht="21.75" customHeight="1">
      <c r="A9" s="97" t="s">
        <v>177</v>
      </c>
      <c r="C9" s="97" t="s">
        <v>142</v>
      </c>
      <c r="E9" s="97" t="s">
        <v>141</v>
      </c>
      <c r="G9" s="124" t="s">
        <v>140</v>
      </c>
      <c r="H9" s="124"/>
      <c r="I9" s="124"/>
      <c r="K9" s="125">
        <v>8777142</v>
      </c>
      <c r="L9" s="125"/>
      <c r="M9" s="125"/>
      <c r="O9" s="125">
        <v>18000</v>
      </c>
      <c r="P9" s="125"/>
      <c r="Q9" s="125"/>
      <c r="S9" s="124" t="s">
        <v>180</v>
      </c>
      <c r="T9" s="124"/>
      <c r="U9" s="124"/>
      <c r="V9" s="124"/>
      <c r="W9" s="124"/>
      <c r="Y9" s="124" t="s">
        <v>142</v>
      </c>
      <c r="Z9" s="124"/>
      <c r="AA9" s="124"/>
      <c r="AB9" s="124"/>
      <c r="AC9" s="124"/>
      <c r="AE9" s="124" t="s">
        <v>140</v>
      </c>
      <c r="AF9" s="124"/>
      <c r="AG9" s="124"/>
      <c r="AH9" s="124"/>
      <c r="AI9" s="124"/>
      <c r="AK9" s="124" t="s">
        <v>140</v>
      </c>
      <c r="AL9" s="124"/>
      <c r="AM9" s="124"/>
      <c r="AO9" s="125">
        <v>0</v>
      </c>
      <c r="AP9" s="125"/>
      <c r="AQ9" s="125"/>
      <c r="AS9" s="125">
        <v>0</v>
      </c>
      <c r="AT9" s="125"/>
      <c r="AV9" s="97" t="s">
        <v>140</v>
      </c>
    </row>
    <row r="10" spans="1:49" ht="21.75" customHeight="1">
      <c r="A10" s="97" t="s">
        <v>200</v>
      </c>
      <c r="C10" s="97" t="s">
        <v>142</v>
      </c>
      <c r="E10" s="97" t="s">
        <v>140</v>
      </c>
      <c r="G10" s="124" t="s">
        <v>140</v>
      </c>
      <c r="H10" s="124"/>
      <c r="I10" s="124"/>
      <c r="K10" s="125">
        <v>0</v>
      </c>
      <c r="L10" s="125"/>
      <c r="M10" s="125"/>
      <c r="O10" s="125">
        <v>0</v>
      </c>
      <c r="P10" s="125"/>
      <c r="Q10" s="125"/>
      <c r="S10" s="124" t="s">
        <v>140</v>
      </c>
      <c r="T10" s="124"/>
      <c r="U10" s="124"/>
      <c r="V10" s="124"/>
      <c r="W10" s="124"/>
      <c r="Y10" s="124" t="s">
        <v>142</v>
      </c>
      <c r="Z10" s="124"/>
      <c r="AA10" s="124"/>
      <c r="AB10" s="124"/>
      <c r="AC10" s="124"/>
      <c r="AE10" s="124" t="s">
        <v>216</v>
      </c>
      <c r="AF10" s="124"/>
      <c r="AG10" s="124"/>
      <c r="AH10" s="124"/>
      <c r="AI10" s="124"/>
      <c r="AK10" s="124" t="s">
        <v>140</v>
      </c>
      <c r="AL10" s="124"/>
      <c r="AM10" s="124"/>
      <c r="AO10" s="125">
        <v>8197000</v>
      </c>
      <c r="AP10" s="125"/>
      <c r="AQ10" s="125"/>
      <c r="AS10" s="125">
        <v>8260</v>
      </c>
      <c r="AT10" s="125"/>
      <c r="AV10" s="97" t="s">
        <v>215</v>
      </c>
    </row>
    <row r="11" spans="1:49" ht="21.75" customHeight="1">
      <c r="A11" s="97" t="s">
        <v>209</v>
      </c>
      <c r="C11" s="97" t="s">
        <v>142</v>
      </c>
      <c r="E11" s="97" t="s">
        <v>140</v>
      </c>
      <c r="G11" s="124" t="s">
        <v>140</v>
      </c>
      <c r="H11" s="124"/>
      <c r="I11" s="124"/>
      <c r="K11" s="125">
        <v>0</v>
      </c>
      <c r="L11" s="125"/>
      <c r="M11" s="125"/>
      <c r="O11" s="125">
        <v>0</v>
      </c>
      <c r="P11" s="125"/>
      <c r="Q11" s="125"/>
      <c r="S11" s="124" t="s">
        <v>140</v>
      </c>
      <c r="T11" s="124"/>
      <c r="U11" s="124"/>
      <c r="V11" s="124"/>
      <c r="W11" s="124"/>
      <c r="Y11" s="124" t="s">
        <v>142</v>
      </c>
      <c r="Z11" s="124"/>
      <c r="AA11" s="124"/>
      <c r="AB11" s="124"/>
      <c r="AC11" s="124"/>
      <c r="AE11" s="124" t="s">
        <v>216</v>
      </c>
      <c r="AF11" s="124"/>
      <c r="AG11" s="124"/>
      <c r="AH11" s="124"/>
      <c r="AI11" s="124"/>
      <c r="AK11" s="124" t="s">
        <v>140</v>
      </c>
      <c r="AL11" s="124"/>
      <c r="AM11" s="124"/>
      <c r="AO11" s="125">
        <v>18613000</v>
      </c>
      <c r="AP11" s="125"/>
      <c r="AQ11" s="125"/>
      <c r="AS11" s="125">
        <v>2200</v>
      </c>
      <c r="AT11" s="125"/>
      <c r="AV11" s="97" t="s">
        <v>218</v>
      </c>
    </row>
    <row r="12" spans="1:49" ht="21.75" customHeight="1">
      <c r="A12" s="97" t="s">
        <v>204</v>
      </c>
      <c r="C12" s="97" t="s">
        <v>217</v>
      </c>
      <c r="E12" s="97" t="s">
        <v>140</v>
      </c>
      <c r="G12" s="124" t="s">
        <v>140</v>
      </c>
      <c r="H12" s="124"/>
      <c r="I12" s="124"/>
      <c r="K12" s="125">
        <v>0</v>
      </c>
      <c r="L12" s="125"/>
      <c r="M12" s="125"/>
      <c r="O12" s="125">
        <v>0</v>
      </c>
      <c r="P12" s="125"/>
      <c r="Q12" s="125"/>
      <c r="S12" s="124" t="s">
        <v>140</v>
      </c>
      <c r="T12" s="124"/>
      <c r="U12" s="124"/>
      <c r="V12" s="124"/>
      <c r="W12" s="124"/>
      <c r="Y12" s="124" t="s">
        <v>217</v>
      </c>
      <c r="Z12" s="124"/>
      <c r="AA12" s="124"/>
      <c r="AB12" s="124"/>
      <c r="AC12" s="124"/>
      <c r="AE12" s="124" t="s">
        <v>216</v>
      </c>
      <c r="AF12" s="124"/>
      <c r="AG12" s="124"/>
      <c r="AH12" s="124"/>
      <c r="AI12" s="124"/>
      <c r="AK12" s="124" t="s">
        <v>140</v>
      </c>
      <c r="AL12" s="124"/>
      <c r="AM12" s="124"/>
      <c r="AO12" s="125">
        <v>25000000</v>
      </c>
      <c r="AP12" s="125"/>
      <c r="AQ12" s="125"/>
      <c r="AS12" s="125">
        <v>9260</v>
      </c>
      <c r="AT12" s="125"/>
      <c r="AV12" s="97" t="s">
        <v>215</v>
      </c>
    </row>
    <row r="13" spans="1:49" ht="21.75" customHeight="1">
      <c r="A13" s="97" t="s">
        <v>205</v>
      </c>
      <c r="C13" s="97" t="s">
        <v>217</v>
      </c>
      <c r="E13" s="97" t="s">
        <v>140</v>
      </c>
      <c r="G13" s="124" t="s">
        <v>140</v>
      </c>
      <c r="H13" s="124"/>
      <c r="I13" s="124"/>
      <c r="K13" s="125">
        <v>0</v>
      </c>
      <c r="L13" s="125"/>
      <c r="M13" s="125"/>
      <c r="O13" s="125">
        <v>0</v>
      </c>
      <c r="P13" s="125"/>
      <c r="Q13" s="125"/>
      <c r="S13" s="124" t="s">
        <v>140</v>
      </c>
      <c r="T13" s="124"/>
      <c r="U13" s="124"/>
      <c r="V13" s="124"/>
      <c r="W13" s="124"/>
      <c r="Y13" s="124" t="s">
        <v>217</v>
      </c>
      <c r="Z13" s="124"/>
      <c r="AA13" s="124"/>
      <c r="AB13" s="124"/>
      <c r="AC13" s="124"/>
      <c r="AE13" s="124" t="s">
        <v>216</v>
      </c>
      <c r="AF13" s="124"/>
      <c r="AG13" s="124"/>
      <c r="AH13" s="124"/>
      <c r="AI13" s="124"/>
      <c r="AK13" s="124" t="s">
        <v>140</v>
      </c>
      <c r="AL13" s="124"/>
      <c r="AM13" s="124"/>
      <c r="AO13" s="125">
        <v>18219000</v>
      </c>
      <c r="AP13" s="125"/>
      <c r="AQ13" s="125"/>
      <c r="AS13" s="125">
        <v>2400</v>
      </c>
      <c r="AT13" s="125"/>
      <c r="AV13" s="97" t="s">
        <v>218</v>
      </c>
    </row>
    <row r="14" spans="1:49" ht="21.75" customHeight="1">
      <c r="A14" s="97" t="s">
        <v>203</v>
      </c>
      <c r="C14" s="97" t="s">
        <v>217</v>
      </c>
      <c r="E14" s="97" t="s">
        <v>140</v>
      </c>
      <c r="G14" s="124" t="s">
        <v>140</v>
      </c>
      <c r="H14" s="124"/>
      <c r="I14" s="124"/>
      <c r="K14" s="125">
        <v>0</v>
      </c>
      <c r="L14" s="125"/>
      <c r="M14" s="125"/>
      <c r="O14" s="125">
        <v>0</v>
      </c>
      <c r="P14" s="125"/>
      <c r="Q14" s="125"/>
      <c r="S14" s="124" t="s">
        <v>140</v>
      </c>
      <c r="T14" s="124"/>
      <c r="U14" s="124"/>
      <c r="V14" s="124"/>
      <c r="W14" s="124"/>
      <c r="Y14" s="124" t="s">
        <v>217</v>
      </c>
      <c r="Z14" s="124"/>
      <c r="AA14" s="124"/>
      <c r="AB14" s="124"/>
      <c r="AC14" s="124"/>
      <c r="AE14" s="124" t="s">
        <v>216</v>
      </c>
      <c r="AF14" s="124"/>
      <c r="AG14" s="124"/>
      <c r="AH14" s="124"/>
      <c r="AI14" s="124"/>
      <c r="AK14" s="124" t="s">
        <v>140</v>
      </c>
      <c r="AL14" s="124"/>
      <c r="AM14" s="124"/>
      <c r="AO14" s="125">
        <v>39000000</v>
      </c>
      <c r="AP14" s="125"/>
      <c r="AQ14" s="125"/>
      <c r="AS14" s="125">
        <v>1154</v>
      </c>
      <c r="AT14" s="125"/>
      <c r="AV14" s="97" t="s">
        <v>215</v>
      </c>
    </row>
    <row r="15" spans="1:49" ht="21.75" customHeight="1"/>
    <row r="16" spans="1:49" ht="21.75" customHeight="1"/>
    <row r="17" ht="21.75" customHeight="1"/>
    <row r="18" ht="21.75" customHeight="1"/>
    <row r="19" ht="21.75" customHeight="1"/>
    <row r="20" ht="21.75" customHeight="1"/>
    <row r="21" ht="21.75" customHeight="1"/>
    <row r="22" ht="21.75" customHeight="1"/>
    <row r="23" ht="21.75" customHeight="1"/>
    <row r="24" ht="21.75" customHeight="1"/>
    <row r="25" ht="21.75" customHeight="1"/>
    <row r="26" ht="21.75" customHeight="1"/>
    <row r="27" ht="21.75" customHeight="1"/>
    <row r="28" ht="21.75" customHeight="1"/>
    <row r="29" ht="21.75" customHeight="1"/>
    <row r="30" ht="21.75" customHeight="1"/>
    <row r="31" ht="21.75" customHeight="1"/>
    <row r="32" ht="21.75" customHeight="1"/>
    <row r="33" ht="21.75" customHeight="1"/>
    <row r="34" ht="21.75" customHeight="1"/>
    <row r="35" ht="21.75" customHeight="1"/>
    <row r="36" ht="21.75" customHeight="1"/>
    <row r="37" ht="21.75" customHeight="1"/>
    <row r="38" ht="21.75" customHeight="1"/>
    <row r="39" ht="21.75" customHeight="1"/>
    <row r="40" ht="21.75" customHeight="1"/>
    <row r="41" ht="21.75" customHeight="1"/>
    <row r="42" ht="21.75" customHeight="1"/>
    <row r="43" ht="21.75" customHeight="1"/>
    <row r="44" ht="21.75" customHeight="1"/>
    <row r="45" ht="21.75" customHeight="1"/>
    <row r="46" ht="21.75" customHeight="1"/>
    <row r="47" ht="21.75" customHeight="1"/>
    <row r="48" ht="21.75" customHeight="1"/>
    <row r="49" ht="21.75" customHeight="1"/>
    <row r="50" ht="21.75" customHeight="1"/>
    <row r="51" ht="21.75" customHeight="1"/>
    <row r="52" ht="21.75" customHeight="1"/>
    <row r="53" ht="21.75" customHeight="1"/>
    <row r="54" ht="21.75" customHeight="1"/>
    <row r="55" ht="21.75" customHeight="1"/>
    <row r="56" ht="21.75" customHeight="1"/>
    <row r="57" ht="21.75" customHeight="1"/>
    <row r="58" ht="21.75" customHeight="1"/>
    <row r="59" ht="21.75" customHeight="1"/>
    <row r="60" ht="21.75" customHeight="1"/>
    <row r="61" ht="21.75" customHeight="1"/>
    <row r="62" ht="21.75" customHeight="1"/>
    <row r="63" ht="21.75" customHeight="1"/>
    <row r="64" ht="21.75" customHeight="1"/>
    <row r="65" ht="21.75" customHeight="1"/>
    <row r="66" ht="21.75" customHeight="1"/>
    <row r="67" ht="21.75" customHeight="1"/>
    <row r="68" ht="21.75" customHeight="1"/>
  </sheetData>
  <mergeCells count="87">
    <mergeCell ref="G6:I6"/>
    <mergeCell ref="K6:M6"/>
    <mergeCell ref="O6:Q6"/>
    <mergeCell ref="S6:W6"/>
    <mergeCell ref="Y6:AC6"/>
    <mergeCell ref="A1:AW1"/>
    <mergeCell ref="A2:AW2"/>
    <mergeCell ref="A3:AW3"/>
    <mergeCell ref="A4:AW4"/>
    <mergeCell ref="C5:W5"/>
    <mergeCell ref="Y5:AV5"/>
    <mergeCell ref="AE7:AI7"/>
    <mergeCell ref="AK7:AM7"/>
    <mergeCell ref="AO7:AQ7"/>
    <mergeCell ref="AS7:AT7"/>
    <mergeCell ref="AO6:AQ6"/>
    <mergeCell ref="AS6:AT6"/>
    <mergeCell ref="AE6:AI6"/>
    <mergeCell ref="AK6:AM6"/>
    <mergeCell ref="G7:I7"/>
    <mergeCell ref="K7:M7"/>
    <mergeCell ref="O7:Q7"/>
    <mergeCell ref="S7:W7"/>
    <mergeCell ref="Y7:AC7"/>
    <mergeCell ref="AO9:AQ9"/>
    <mergeCell ref="AS9:AT9"/>
    <mergeCell ref="G8:I8"/>
    <mergeCell ref="K8:M8"/>
    <mergeCell ref="O8:Q8"/>
    <mergeCell ref="S8:W8"/>
    <mergeCell ref="Y8:AC8"/>
    <mergeCell ref="AE8:AI8"/>
    <mergeCell ref="AK8:AM8"/>
    <mergeCell ref="AO8:AQ8"/>
    <mergeCell ref="AS8:AT8"/>
    <mergeCell ref="AE9:AI9"/>
    <mergeCell ref="AK9:AM9"/>
    <mergeCell ref="G10:I10"/>
    <mergeCell ref="K10:M10"/>
    <mergeCell ref="O10:Q10"/>
    <mergeCell ref="S10:W10"/>
    <mergeCell ref="Y10:AC10"/>
    <mergeCell ref="G9:I9"/>
    <mergeCell ref="K9:M9"/>
    <mergeCell ref="O9:Q9"/>
    <mergeCell ref="S9:W9"/>
    <mergeCell ref="Y9:AC9"/>
    <mergeCell ref="AE11:AI11"/>
    <mergeCell ref="AK11:AM11"/>
    <mergeCell ref="AO11:AQ11"/>
    <mergeCell ref="AS11:AT11"/>
    <mergeCell ref="AK10:AM10"/>
    <mergeCell ref="AO10:AQ10"/>
    <mergeCell ref="AS10:AT10"/>
    <mergeCell ref="AE10:AI10"/>
    <mergeCell ref="G11:I11"/>
    <mergeCell ref="K11:M11"/>
    <mergeCell ref="O11:Q11"/>
    <mergeCell ref="S11:W11"/>
    <mergeCell ref="Y11:AC11"/>
    <mergeCell ref="AO13:AQ13"/>
    <mergeCell ref="AS13:AT13"/>
    <mergeCell ref="G12:I12"/>
    <mergeCell ref="K12:M12"/>
    <mergeCell ref="O12:Q12"/>
    <mergeCell ref="S12:W12"/>
    <mergeCell ref="Y12:AC12"/>
    <mergeCell ref="AE12:AI12"/>
    <mergeCell ref="AK12:AM12"/>
    <mergeCell ref="AO12:AQ12"/>
    <mergeCell ref="AS12:AT12"/>
    <mergeCell ref="AK14:AM14"/>
    <mergeCell ref="AO14:AQ14"/>
    <mergeCell ref="AS14:AT14"/>
    <mergeCell ref="G13:I13"/>
    <mergeCell ref="K13:M13"/>
    <mergeCell ref="O13:Q13"/>
    <mergeCell ref="S13:W13"/>
    <mergeCell ref="Y13:AC13"/>
    <mergeCell ref="AE13:AI13"/>
    <mergeCell ref="AK13:AM13"/>
    <mergeCell ref="G14:I14"/>
    <mergeCell ref="K14:M14"/>
    <mergeCell ref="O14:Q14"/>
    <mergeCell ref="S14:W14"/>
    <mergeCell ref="Y14:AC14"/>
    <mergeCell ref="AE14:AI14"/>
  </mergeCells>
  <pageMargins left="0.39" right="0.39" top="0.39" bottom="0.39" header="0" footer="0"/>
  <pageSetup paperSize="9" scale="7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M14"/>
  <sheetViews>
    <sheetView rightToLeft="1" view="pageBreakPreview" topLeftCell="D1" zoomScaleNormal="100" zoomScaleSheetLayoutView="100" workbookViewId="0">
      <selection activeCell="W20" sqref="W20"/>
    </sheetView>
  </sheetViews>
  <sheetFormatPr defaultRowHeight="12.75"/>
  <cols>
    <col min="1" max="1" width="60.5703125" bestFit="1" customWidth="1"/>
    <col min="2" max="2" width="1.28515625" customWidth="1"/>
    <col min="3" max="3" width="18.5703125" bestFit="1" customWidth="1"/>
    <col min="4" max="4" width="1.28515625" customWidth="1"/>
    <col min="5" max="5" width="14.5703125" bestFit="1" customWidth="1"/>
    <col min="6" max="6" width="1.28515625" customWidth="1"/>
    <col min="7" max="7" width="15.42578125" bestFit="1" customWidth="1"/>
    <col min="8" max="8" width="1.28515625" customWidth="1"/>
    <col min="9" max="9" width="12.85546875" bestFit="1" customWidth="1"/>
    <col min="10" max="10" width="1.28515625" customWidth="1"/>
    <col min="11" max="11" width="13" bestFit="1" customWidth="1"/>
    <col min="12" max="12" width="1.28515625" customWidth="1"/>
    <col min="13" max="13" width="12" bestFit="1" customWidth="1"/>
    <col min="14" max="14" width="1.28515625" customWidth="1"/>
    <col min="15" max="15" width="8.7109375" bestFit="1" customWidth="1"/>
    <col min="16" max="16" width="1.28515625" customWidth="1"/>
    <col min="17" max="17" width="16.42578125" bestFit="1" customWidth="1"/>
    <col min="18" max="18" width="1.28515625" customWidth="1"/>
    <col min="19" max="19" width="16.5703125" bestFit="1" customWidth="1"/>
    <col min="20" max="20" width="1.28515625" customWidth="1"/>
    <col min="21" max="21" width="7.85546875" bestFit="1" customWidth="1"/>
    <col min="22" max="22" width="1.28515625" customWidth="1"/>
    <col min="23" max="23" width="15.7109375" bestFit="1" customWidth="1"/>
    <col min="24" max="24" width="1.28515625" customWidth="1"/>
    <col min="25" max="25" width="9.5703125" bestFit="1" customWidth="1"/>
    <col min="26" max="26" width="1.28515625" customWidth="1"/>
    <col min="27" max="27" width="17.42578125" bestFit="1" customWidth="1"/>
    <col min="28" max="28" width="1.28515625" customWidth="1"/>
    <col min="29" max="29" width="5.5703125" bestFit="1" customWidth="1"/>
    <col min="30" max="30" width="1.28515625" customWidth="1"/>
    <col min="31" max="31" width="16.140625" bestFit="1" customWidth="1"/>
    <col min="32" max="32" width="1.28515625" customWidth="1"/>
    <col min="33" max="33" width="13" bestFit="1" customWidth="1"/>
    <col min="34" max="34" width="1.28515625" customWidth="1"/>
    <col min="35" max="35" width="16.140625" bestFit="1" customWidth="1"/>
    <col min="36" max="36" width="1.28515625" customWidth="1"/>
    <col min="37" max="37" width="18.42578125" bestFit="1" customWidth="1"/>
    <col min="38" max="38" width="0.28515625" customWidth="1"/>
  </cols>
  <sheetData>
    <row r="1" spans="1:39" ht="29.1" customHeight="1">
      <c r="A1" s="120" t="str">
        <f>سهام!A1</f>
        <v>صندوق سرمایه‌گذاری افق دماوند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  <c r="AH1" s="120"/>
      <c r="AI1" s="120"/>
      <c r="AJ1" s="120"/>
      <c r="AK1" s="120"/>
    </row>
    <row r="2" spans="1:39" ht="21.75" customHeight="1">
      <c r="A2" s="120" t="s">
        <v>0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20"/>
      <c r="AI2" s="120"/>
      <c r="AJ2" s="120"/>
      <c r="AK2" s="120"/>
    </row>
    <row r="3" spans="1:39" ht="21.75" customHeight="1">
      <c r="A3" s="120" t="str">
        <f>سهام!A3</f>
        <v>برای ماه منتهی به 1405/05/31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  <c r="AE3" s="120"/>
      <c r="AF3" s="120"/>
      <c r="AG3" s="120"/>
      <c r="AH3" s="120"/>
      <c r="AI3" s="120"/>
      <c r="AJ3" s="120"/>
      <c r="AK3" s="120"/>
    </row>
    <row r="4" spans="1:39" ht="14.45" customHeight="1"/>
    <row r="5" spans="1:39" ht="24">
      <c r="A5" s="39" t="s">
        <v>119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</row>
    <row r="6" spans="1:39" ht="14.45" customHeight="1">
      <c r="A6" s="132" t="s">
        <v>42</v>
      </c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21"/>
      <c r="O6" s="132" t="s">
        <v>157</v>
      </c>
      <c r="P6" s="132"/>
      <c r="Q6" s="132"/>
      <c r="R6" s="132"/>
      <c r="S6" s="132"/>
      <c r="U6" s="132" t="s">
        <v>1</v>
      </c>
      <c r="V6" s="132"/>
      <c r="W6" s="132"/>
      <c r="X6" s="132"/>
      <c r="Y6" s="132"/>
      <c r="Z6" s="132"/>
      <c r="AA6" s="132"/>
      <c r="AC6" s="132" t="s">
        <v>197</v>
      </c>
      <c r="AD6" s="132"/>
      <c r="AE6" s="132"/>
      <c r="AF6" s="132"/>
      <c r="AG6" s="132"/>
      <c r="AH6" s="132"/>
      <c r="AI6" s="132"/>
      <c r="AJ6" s="132"/>
      <c r="AK6" s="132"/>
    </row>
    <row r="7" spans="1:39" ht="14.45" customHeight="1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1"/>
      <c r="U7" s="123" t="s">
        <v>2</v>
      </c>
      <c r="V7" s="123"/>
      <c r="W7" s="123"/>
      <c r="X7" s="30"/>
      <c r="Y7" s="123" t="s">
        <v>3</v>
      </c>
      <c r="Z7" s="123"/>
      <c r="AA7" s="123"/>
      <c r="AB7" s="31"/>
      <c r="AC7" s="30"/>
      <c r="AD7" s="30"/>
      <c r="AE7" s="30"/>
      <c r="AF7" s="30"/>
      <c r="AG7" s="30"/>
      <c r="AH7" s="30"/>
      <c r="AI7" s="30"/>
      <c r="AJ7" s="30"/>
      <c r="AK7" s="30"/>
    </row>
    <row r="8" spans="1:39" ht="42">
      <c r="A8" s="2" t="s">
        <v>43</v>
      </c>
      <c r="B8" s="31"/>
      <c r="C8" s="2" t="s">
        <v>44</v>
      </c>
      <c r="D8" s="31"/>
      <c r="E8" s="7" t="s">
        <v>45</v>
      </c>
      <c r="F8" s="31"/>
      <c r="G8" s="2" t="s">
        <v>46</v>
      </c>
      <c r="H8" s="31"/>
      <c r="I8" s="2" t="s">
        <v>47</v>
      </c>
      <c r="J8" s="31"/>
      <c r="K8" s="2" t="s">
        <v>48</v>
      </c>
      <c r="L8" s="31"/>
      <c r="M8" s="2" t="s">
        <v>40</v>
      </c>
      <c r="N8" s="31"/>
      <c r="O8" s="2" t="s">
        <v>5</v>
      </c>
      <c r="P8" s="31"/>
      <c r="Q8" s="2" t="s">
        <v>6</v>
      </c>
      <c r="R8" s="31"/>
      <c r="S8" s="2" t="s">
        <v>7</v>
      </c>
      <c r="T8" s="31"/>
      <c r="U8" s="4" t="s">
        <v>5</v>
      </c>
      <c r="V8" s="30"/>
      <c r="W8" s="4" t="s">
        <v>6</v>
      </c>
      <c r="X8" s="31"/>
      <c r="Y8" s="4" t="s">
        <v>5</v>
      </c>
      <c r="Z8" s="30"/>
      <c r="AA8" s="4" t="s">
        <v>8</v>
      </c>
      <c r="AB8" s="31"/>
      <c r="AC8" s="2" t="s">
        <v>5</v>
      </c>
      <c r="AD8" s="31"/>
      <c r="AE8" s="2" t="s">
        <v>9</v>
      </c>
      <c r="AF8" s="31"/>
      <c r="AG8" s="2" t="s">
        <v>6</v>
      </c>
      <c r="AH8" s="31"/>
      <c r="AI8" s="2" t="s">
        <v>7</v>
      </c>
      <c r="AJ8" s="31"/>
      <c r="AK8" s="2" t="s">
        <v>10</v>
      </c>
    </row>
    <row r="9" spans="1:39" ht="18.75">
      <c r="A9" s="32" t="s">
        <v>49</v>
      </c>
      <c r="B9" s="66"/>
      <c r="C9" s="32" t="s">
        <v>50</v>
      </c>
      <c r="D9" s="66"/>
      <c r="E9" s="32" t="s">
        <v>50</v>
      </c>
      <c r="F9" s="66"/>
      <c r="G9" s="32" t="s">
        <v>51</v>
      </c>
      <c r="H9" s="66"/>
      <c r="I9" s="32" t="s">
        <v>52</v>
      </c>
      <c r="J9" s="66"/>
      <c r="K9" s="102">
        <v>23</v>
      </c>
      <c r="L9" s="103"/>
      <c r="M9" s="102">
        <v>23</v>
      </c>
      <c r="N9" s="104"/>
      <c r="O9" s="90">
        <v>606000</v>
      </c>
      <c r="P9" s="104"/>
      <c r="Q9" s="90">
        <v>606308414362</v>
      </c>
      <c r="R9" s="104"/>
      <c r="S9" s="90">
        <v>605670487500</v>
      </c>
      <c r="T9" s="93"/>
      <c r="U9" s="90">
        <v>14500</v>
      </c>
      <c r="V9" s="104"/>
      <c r="W9" s="90">
        <v>14507884375</v>
      </c>
      <c r="X9" s="104"/>
      <c r="Y9" s="105">
        <v>-620500</v>
      </c>
      <c r="Z9" s="104"/>
      <c r="AA9" s="90">
        <v>-620176103125</v>
      </c>
      <c r="AB9" s="104"/>
      <c r="AC9" s="90">
        <v>0</v>
      </c>
      <c r="AD9" s="104"/>
      <c r="AE9" s="90"/>
      <c r="AF9" s="104"/>
      <c r="AG9" s="90">
        <v>0</v>
      </c>
      <c r="AH9" s="104"/>
      <c r="AI9" s="90">
        <v>0</v>
      </c>
      <c r="AJ9" s="104"/>
      <c r="AK9" s="92">
        <f>AI9/3348756631570*100</f>
        <v>0</v>
      </c>
      <c r="AM9" s="38"/>
    </row>
    <row r="10" spans="1:39" ht="19.5" thickBot="1">
      <c r="A10" s="67"/>
      <c r="B10" s="67"/>
      <c r="C10" s="67"/>
      <c r="D10" s="67"/>
      <c r="E10" s="67"/>
      <c r="F10" s="67"/>
      <c r="G10" s="67"/>
      <c r="H10" s="67"/>
      <c r="I10" s="67"/>
      <c r="J10" s="67"/>
      <c r="K10" s="106"/>
      <c r="L10" s="106"/>
      <c r="M10" s="106"/>
      <c r="N10" s="107"/>
      <c r="O10" s="92"/>
      <c r="P10" s="107"/>
      <c r="Q10" s="108">
        <f>SUM(Q9)</f>
        <v>606308414362</v>
      </c>
      <c r="R10" s="107"/>
      <c r="S10" s="108">
        <f>SUM(S9)</f>
        <v>605670487500</v>
      </c>
      <c r="T10" s="93"/>
      <c r="U10" s="92"/>
      <c r="V10" s="92"/>
      <c r="W10" s="108">
        <f>SUM(W9)</f>
        <v>14507884375</v>
      </c>
      <c r="X10" s="107"/>
      <c r="Y10" s="92"/>
      <c r="Z10" s="107"/>
      <c r="AA10" s="108">
        <f>SUM(AA9)</f>
        <v>-620176103125</v>
      </c>
      <c r="AB10" s="107"/>
      <c r="AC10" s="92"/>
      <c r="AD10" s="107"/>
      <c r="AE10" s="107"/>
      <c r="AF10" s="107"/>
      <c r="AG10" s="108">
        <f>SUM(AG9)</f>
        <v>0</v>
      </c>
      <c r="AH10" s="107"/>
      <c r="AI10" s="108">
        <f>SUM(AI9)</f>
        <v>0</v>
      </c>
      <c r="AJ10" s="107"/>
      <c r="AK10" s="108">
        <f>SUM(AK9)</f>
        <v>0</v>
      </c>
    </row>
    <row r="11" spans="1:39" ht="13.5" thickTop="1">
      <c r="AG11" s="38"/>
    </row>
    <row r="12" spans="1:39">
      <c r="Q12" s="38"/>
      <c r="S12" s="38"/>
      <c r="AG12" s="38"/>
      <c r="AI12" s="38"/>
    </row>
    <row r="13" spans="1:39">
      <c r="AG13" s="38"/>
      <c r="AI13" s="38"/>
    </row>
    <row r="14" spans="1:39">
      <c r="AG14" s="38"/>
      <c r="AI14" s="65"/>
    </row>
  </sheetData>
  <mergeCells count="9">
    <mergeCell ref="U7:W7"/>
    <mergeCell ref="Y7:AA7"/>
    <mergeCell ref="AC6:AK6"/>
    <mergeCell ref="O6:S6"/>
    <mergeCell ref="A1:AK1"/>
    <mergeCell ref="A2:AK2"/>
    <mergeCell ref="A3:AK3"/>
    <mergeCell ref="A6:M6"/>
    <mergeCell ref="U6:AA6"/>
  </mergeCells>
  <pageMargins left="0.39" right="0.39" top="0.39" bottom="0.39" header="0" footer="0"/>
  <pageSetup scale="4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4"/>
  <sheetViews>
    <sheetView rightToLeft="1" view="pageBreakPreview" zoomScale="160" zoomScaleNormal="100" zoomScaleSheetLayoutView="160" workbookViewId="0">
      <selection activeCell="I13" sqref="I13:I16"/>
    </sheetView>
  </sheetViews>
  <sheetFormatPr defaultRowHeight="12.75"/>
  <cols>
    <col min="1" max="1" width="37.7109375" bestFit="1" customWidth="1"/>
    <col min="2" max="2" width="1.28515625" customWidth="1"/>
    <col min="3" max="3" width="15.140625" bestFit="1" customWidth="1"/>
    <col min="4" max="4" width="1.28515625" customWidth="1"/>
    <col min="5" max="5" width="16.5703125" bestFit="1" customWidth="1"/>
    <col min="6" max="6" width="1.28515625" customWidth="1"/>
    <col min="7" max="7" width="17.7109375" bestFit="1" customWidth="1"/>
    <col min="8" max="8" width="1.28515625" customWidth="1"/>
    <col min="9" max="9" width="16.7109375" bestFit="1" customWidth="1"/>
    <col min="10" max="10" width="1.28515625" customWidth="1"/>
    <col min="11" max="11" width="18.28515625" bestFit="1" customWidth="1"/>
  </cols>
  <sheetData>
    <row r="1" spans="1:12" ht="29.1" customHeight="1">
      <c r="A1" s="120" t="str">
        <f>سهام!A1</f>
        <v>صندوق سرمایه‌گذاری افق دماوند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</row>
    <row r="2" spans="1:12" ht="21.75" customHeight="1">
      <c r="A2" s="120" t="s">
        <v>0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</row>
    <row r="3" spans="1:12" ht="21.75" customHeight="1">
      <c r="A3" s="120" t="str">
        <f>سهام!A3</f>
        <v>برای ماه منتهی به 1405/05/31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</row>
    <row r="4" spans="1:12" ht="14.45" customHeight="1"/>
    <row r="5" spans="1:12" ht="14.45" customHeight="1">
      <c r="A5" s="39" t="s">
        <v>120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2" ht="14.45" customHeight="1">
      <c r="C6" s="2" t="s">
        <v>157</v>
      </c>
      <c r="E6" s="132" t="s">
        <v>1</v>
      </c>
      <c r="F6" s="132"/>
      <c r="G6" s="132"/>
      <c r="I6" s="133" t="s">
        <v>197</v>
      </c>
      <c r="J6" s="133"/>
      <c r="K6" s="133"/>
    </row>
    <row r="7" spans="1:12" ht="14.45" customHeight="1">
      <c r="A7" s="21" t="s">
        <v>53</v>
      </c>
      <c r="C7" s="2" t="s">
        <v>54</v>
      </c>
      <c r="E7" s="2" t="s">
        <v>55</v>
      </c>
      <c r="G7" s="2" t="s">
        <v>56</v>
      </c>
      <c r="I7" s="2" t="s">
        <v>54</v>
      </c>
      <c r="K7" s="2" t="s">
        <v>10</v>
      </c>
    </row>
    <row r="8" spans="1:12" ht="21" customHeight="1">
      <c r="A8" s="12" t="s">
        <v>136</v>
      </c>
      <c r="C8" s="92">
        <v>202908421</v>
      </c>
      <c r="D8" s="91"/>
      <c r="E8" s="92">
        <v>156882131671</v>
      </c>
      <c r="F8" s="91"/>
      <c r="G8" s="92">
        <v>-157002598420</v>
      </c>
      <c r="H8" s="91"/>
      <c r="I8" s="92">
        <f>C8+E8+G8</f>
        <v>82441672</v>
      </c>
      <c r="J8" s="73"/>
      <c r="K8" s="80">
        <f>I8/3348756631570*100</f>
        <v>2.4618591635710719E-3</v>
      </c>
    </row>
    <row r="9" spans="1:12" ht="21" customHeight="1">
      <c r="A9" s="12" t="s">
        <v>219</v>
      </c>
      <c r="C9" s="92">
        <v>3762920</v>
      </c>
      <c r="D9" s="91"/>
      <c r="E9" s="92">
        <f>3239</f>
        <v>3239</v>
      </c>
      <c r="F9" s="91"/>
      <c r="G9" s="92">
        <v>0</v>
      </c>
      <c r="H9" s="91"/>
      <c r="I9" s="92">
        <f t="shared" ref="I9:I10" si="0">C9+E9+G9</f>
        <v>3766159</v>
      </c>
      <c r="J9" s="73"/>
      <c r="K9" s="80">
        <f t="shared" ref="K9:K10" si="1">I9/3348756631570*100</f>
        <v>1.1246439841268217E-4</v>
      </c>
      <c r="L9" s="115"/>
    </row>
    <row r="10" spans="1:12" ht="21" customHeight="1">
      <c r="A10" s="12" t="s">
        <v>137</v>
      </c>
      <c r="C10" s="92">
        <v>9274000</v>
      </c>
      <c r="D10" s="91"/>
      <c r="E10" s="92">
        <v>0</v>
      </c>
      <c r="F10" s="91"/>
      <c r="G10" s="92">
        <v>0</v>
      </c>
      <c r="H10" s="91"/>
      <c r="I10" s="92">
        <f t="shared" si="0"/>
        <v>9274000</v>
      </c>
      <c r="J10" s="73"/>
      <c r="K10" s="80">
        <f t="shared" si="1"/>
        <v>2.7693860797677804E-4</v>
      </c>
    </row>
    <row r="11" spans="1:12" ht="21.75" customHeight="1" thickBot="1">
      <c r="A11" s="20"/>
      <c r="C11" s="109">
        <f>SUM(C8:C10)</f>
        <v>215945341</v>
      </c>
      <c r="D11" s="91"/>
      <c r="E11" s="109">
        <f>SUM(E8:E10)</f>
        <v>156882134910</v>
      </c>
      <c r="F11" s="91"/>
      <c r="G11" s="109">
        <f>SUM(G8:G10)</f>
        <v>-157002598420</v>
      </c>
      <c r="H11" s="91"/>
      <c r="I11" s="109">
        <f>SUM(I8:I10)</f>
        <v>95481831</v>
      </c>
      <c r="J11" s="73"/>
      <c r="K11" s="84">
        <f>SUM(K8:K10)</f>
        <v>2.851262169960532E-3</v>
      </c>
    </row>
    <row r="12" spans="1:12" ht="13.5" thickTop="1">
      <c r="C12" s="38"/>
      <c r="I12" s="38"/>
    </row>
    <row r="14" spans="1:12">
      <c r="I14" s="115"/>
    </row>
  </sheetData>
  <mergeCells count="5">
    <mergeCell ref="E6:G6"/>
    <mergeCell ref="A1:K1"/>
    <mergeCell ref="A2:K2"/>
    <mergeCell ref="A3:K3"/>
    <mergeCell ref="I6:K6"/>
  </mergeCells>
  <pageMargins left="0.39" right="0.39" top="0.39" bottom="0.39" header="0" footer="0"/>
  <pageSetup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S17"/>
  <sheetViews>
    <sheetView rightToLeft="1" view="pageBreakPreview" zoomScaleNormal="100" zoomScaleSheetLayoutView="100" workbookViewId="0">
      <selection activeCell="H15" sqref="F15:H19"/>
    </sheetView>
  </sheetViews>
  <sheetFormatPr defaultRowHeight="12.75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  <col min="12" max="12" width="16.42578125" hidden="1" customWidth="1"/>
    <col min="13" max="13" width="15.42578125" hidden="1" customWidth="1"/>
    <col min="14" max="14" width="15.42578125" bestFit="1" customWidth="1"/>
    <col min="15" max="16" width="14.85546875" bestFit="1" customWidth="1"/>
    <col min="17" max="18" width="15.42578125" bestFit="1" customWidth="1"/>
    <col min="19" max="19" width="14.42578125" bestFit="1" customWidth="1"/>
  </cols>
  <sheetData>
    <row r="1" spans="1:19" ht="29.1" customHeight="1">
      <c r="A1" s="120" t="str">
        <f>سهام!A1</f>
        <v>صندوق سرمایه‌گذاری افق دماوند</v>
      </c>
      <c r="B1" s="120"/>
      <c r="C1" s="120"/>
      <c r="D1" s="120"/>
      <c r="E1" s="120"/>
      <c r="F1" s="120"/>
      <c r="G1" s="120"/>
      <c r="H1" s="120"/>
      <c r="I1" s="120"/>
      <c r="J1" s="120"/>
    </row>
    <row r="2" spans="1:19" ht="21.75" customHeight="1">
      <c r="A2" s="120" t="s">
        <v>57</v>
      </c>
      <c r="B2" s="120"/>
      <c r="C2" s="120"/>
      <c r="D2" s="120"/>
      <c r="E2" s="120"/>
      <c r="F2" s="120"/>
      <c r="G2" s="120"/>
      <c r="H2" s="120"/>
      <c r="I2" s="120"/>
      <c r="J2" s="120"/>
    </row>
    <row r="3" spans="1:19" ht="21.75" customHeight="1">
      <c r="A3" s="120" t="str">
        <f>سهام!A3</f>
        <v>برای ماه منتهی به 1405/05/31</v>
      </c>
      <c r="B3" s="120"/>
      <c r="C3" s="120"/>
      <c r="D3" s="120"/>
      <c r="E3" s="120"/>
      <c r="F3" s="120"/>
      <c r="G3" s="120"/>
      <c r="H3" s="120"/>
      <c r="I3" s="120"/>
      <c r="J3" s="120"/>
    </row>
    <row r="4" spans="1:19" ht="14.45" customHeight="1"/>
    <row r="5" spans="1:19" ht="29.1" customHeight="1">
      <c r="A5" s="1" t="s">
        <v>58</v>
      </c>
      <c r="B5" s="137" t="s">
        <v>59</v>
      </c>
      <c r="C5" s="137"/>
      <c r="D5" s="137"/>
      <c r="E5" s="137"/>
      <c r="F5" s="137"/>
      <c r="G5" s="137"/>
      <c r="H5" s="137"/>
      <c r="I5" s="137"/>
      <c r="J5" s="137"/>
    </row>
    <row r="6" spans="1:19" ht="14.45" customHeight="1"/>
    <row r="7" spans="1:19" ht="14.45" customHeight="1">
      <c r="A7" s="122" t="s">
        <v>60</v>
      </c>
      <c r="B7" s="122"/>
      <c r="D7" s="2" t="s">
        <v>61</v>
      </c>
      <c r="F7" s="2" t="s">
        <v>54</v>
      </c>
      <c r="H7" s="2" t="s">
        <v>62</v>
      </c>
      <c r="J7" s="2" t="s">
        <v>63</v>
      </c>
    </row>
    <row r="8" spans="1:19" ht="21.75" customHeight="1">
      <c r="A8" s="135" t="s">
        <v>64</v>
      </c>
      <c r="B8" s="135"/>
      <c r="C8" s="31"/>
      <c r="D8" s="32" t="s">
        <v>65</v>
      </c>
      <c r="E8" s="31"/>
      <c r="F8" s="70">
        <f>'درآمد سرمایه گذاری در سهام'!S81</f>
        <v>713144621139</v>
      </c>
      <c r="G8" s="81"/>
      <c r="H8" s="74">
        <f>F8/$F$12*100</f>
        <v>94.742908041934101</v>
      </c>
      <c r="I8" s="81"/>
      <c r="J8" s="74">
        <f>F8/1780977753407*100</f>
        <v>40.042309331195099</v>
      </c>
      <c r="L8" s="45" t="e">
        <f>'درآمد سرمایه گذاری در سهام'!#REF!</f>
        <v>#REF!</v>
      </c>
      <c r="M8" s="38" t="e">
        <f>'درآمد سرمایه گذاری در سهام'!#REF!</f>
        <v>#REF!</v>
      </c>
      <c r="N8" s="38"/>
      <c r="O8" s="38"/>
      <c r="P8" s="38"/>
      <c r="Q8" s="38"/>
      <c r="R8" s="38"/>
      <c r="S8" s="38"/>
    </row>
    <row r="9" spans="1:19" ht="21.75" customHeight="1">
      <c r="A9" s="136" t="s">
        <v>67</v>
      </c>
      <c r="B9" s="136"/>
      <c r="C9" s="31"/>
      <c r="D9" s="34" t="s">
        <v>66</v>
      </c>
      <c r="E9" s="31"/>
      <c r="F9" s="71">
        <f>'درآمد سرمایه گذاری در اوراق'!Q10</f>
        <v>37993720223</v>
      </c>
      <c r="G9" s="81"/>
      <c r="H9" s="74">
        <f>F9/$F$12*100</f>
        <v>5.0475533777559702</v>
      </c>
      <c r="I9" s="81"/>
      <c r="J9" s="74">
        <f t="shared" ref="J9:J11" si="0">F9/1780977753407*100</f>
        <v>2.1333068394772612</v>
      </c>
      <c r="L9" s="38">
        <f>'درآمد سرمایه گذاری در اوراق'!I10</f>
        <v>11144003316</v>
      </c>
      <c r="M9" s="38">
        <f>'درآمد سرمایه گذاری در اوراق'!I10</f>
        <v>11144003316</v>
      </c>
      <c r="N9" s="38"/>
      <c r="O9" s="38"/>
      <c r="P9" s="38"/>
      <c r="Q9" s="38"/>
    </row>
    <row r="10" spans="1:19" ht="21.75" customHeight="1">
      <c r="A10" s="136" t="s">
        <v>69</v>
      </c>
      <c r="B10" s="136"/>
      <c r="C10" s="31"/>
      <c r="D10" s="34" t="s">
        <v>68</v>
      </c>
      <c r="E10" s="31"/>
      <c r="F10" s="71">
        <f>'درآمد سپرده بانکی'!G12</f>
        <v>1434386</v>
      </c>
      <c r="G10" s="81"/>
      <c r="H10" s="74">
        <f>F10/$F$12*100</f>
        <v>1.90561489025309E-4</v>
      </c>
      <c r="I10" s="81"/>
      <c r="J10" s="74">
        <f t="shared" si="0"/>
        <v>8.0539242966737125E-5</v>
      </c>
      <c r="L10" s="38">
        <f>'درآمد سپرده بانکی'!C12</f>
        <v>36257</v>
      </c>
      <c r="M10" s="38">
        <f>'درآمد سپرده بانکی'!C12</f>
        <v>36257</v>
      </c>
      <c r="N10" s="38"/>
    </row>
    <row r="11" spans="1:19" ht="21.75" customHeight="1">
      <c r="A11" s="136" t="s">
        <v>71</v>
      </c>
      <c r="B11" s="136"/>
      <c r="C11" s="31"/>
      <c r="D11" s="34" t="s">
        <v>70</v>
      </c>
      <c r="E11" s="31"/>
      <c r="F11" s="75">
        <f>'سایر درآمدها'!E10</f>
        <v>1575795135</v>
      </c>
      <c r="G11" s="81"/>
      <c r="H11" s="74">
        <f>F11/$F$12*100</f>
        <v>0.20934801882090165</v>
      </c>
      <c r="I11" s="81"/>
      <c r="J11" s="74">
        <f t="shared" si="0"/>
        <v>8.8479214969727341E-2</v>
      </c>
      <c r="L11" s="38">
        <f>'سایر درآمدها'!C10</f>
        <v>676832042</v>
      </c>
      <c r="M11" s="38">
        <f>'سایر درآمدها'!C10</f>
        <v>676832042</v>
      </c>
      <c r="N11" s="38"/>
    </row>
    <row r="12" spans="1:19" ht="21.75" customHeight="1" thickBot="1">
      <c r="A12" s="134"/>
      <c r="B12" s="134"/>
      <c r="C12" s="31"/>
      <c r="D12" s="36"/>
      <c r="E12" s="31"/>
      <c r="F12" s="82">
        <f>SUM(F8:F11)</f>
        <v>752715570883</v>
      </c>
      <c r="G12" s="81"/>
      <c r="H12" s="83">
        <f>SUM(H8:H11)</f>
        <v>100</v>
      </c>
      <c r="I12" s="81"/>
      <c r="J12" s="83">
        <f>SUM(J8:J11)</f>
        <v>42.264175924885059</v>
      </c>
      <c r="L12" s="45" t="e">
        <f>SUM(L8:L11)</f>
        <v>#REF!</v>
      </c>
      <c r="M12" s="38" t="e">
        <f>SUM(M8:M11)</f>
        <v>#REF!</v>
      </c>
      <c r="N12" s="38"/>
    </row>
    <row r="13" spans="1:19" ht="13.5" thickTop="1">
      <c r="F13" s="38"/>
      <c r="L13" s="38">
        <v>467858349622</v>
      </c>
    </row>
    <row r="14" spans="1:19">
      <c r="F14" s="38"/>
      <c r="L14" s="45" t="e">
        <f>L12-L13</f>
        <v>#REF!</v>
      </c>
      <c r="M14" s="38">
        <v>506827360920</v>
      </c>
    </row>
    <row r="15" spans="1:19">
      <c r="F15" s="38"/>
      <c r="M15" s="38" t="e">
        <f>M12-M14</f>
        <v>#REF!</v>
      </c>
      <c r="N15" s="38"/>
    </row>
    <row r="16" spans="1:19">
      <c r="F16" s="38"/>
      <c r="N16" s="38"/>
    </row>
    <row r="17" spans="14:14">
      <c r="N17" s="38"/>
    </row>
  </sheetData>
  <mergeCells count="10">
    <mergeCell ref="A1:J1"/>
    <mergeCell ref="A2:J2"/>
    <mergeCell ref="A3:J3"/>
    <mergeCell ref="B5:J5"/>
    <mergeCell ref="A7:B7"/>
    <mergeCell ref="A12:B12"/>
    <mergeCell ref="A8:B8"/>
    <mergeCell ref="A9:B9"/>
    <mergeCell ref="A10:B10"/>
    <mergeCell ref="A11:B11"/>
  </mergeCells>
  <pageMargins left="0.39" right="0.39" top="0.39" bottom="0.39" header="0" footer="0"/>
  <pageSetup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U89"/>
  <sheetViews>
    <sheetView rightToLeft="1" view="pageBreakPreview" topLeftCell="A59" zoomScale="96" zoomScaleNormal="100" zoomScaleSheetLayoutView="96" workbookViewId="0">
      <selection activeCell="I83" sqref="I83"/>
    </sheetView>
  </sheetViews>
  <sheetFormatPr defaultRowHeight="12.75"/>
  <cols>
    <col min="1" max="1" width="29.85546875" bestFit="1" customWidth="1"/>
    <col min="2" max="2" width="1.28515625" customWidth="1"/>
    <col min="3" max="3" width="14.85546875" bestFit="1" customWidth="1"/>
    <col min="4" max="4" width="1.28515625" customWidth="1"/>
    <col min="5" max="5" width="16.5703125" bestFit="1" customWidth="1"/>
    <col min="6" max="6" width="1.28515625" customWidth="1"/>
    <col min="7" max="7" width="16.5703125" bestFit="1" customWidth="1"/>
    <col min="8" max="8" width="1.28515625" customWidth="1"/>
    <col min="9" max="9" width="19" bestFit="1" customWidth="1"/>
    <col min="10" max="10" width="1.28515625" customWidth="1"/>
    <col min="11" max="11" width="17.28515625" bestFit="1" customWidth="1"/>
    <col min="12" max="12" width="1.28515625" customWidth="1"/>
    <col min="13" max="13" width="16.5703125" bestFit="1" customWidth="1"/>
    <col min="14" max="14" width="1.28515625" customWidth="1"/>
    <col min="15" max="15" width="16.7109375" bestFit="1" customWidth="1"/>
    <col min="16" max="16" width="1.28515625" customWidth="1"/>
    <col min="17" max="17" width="17.7109375" bestFit="1" customWidth="1"/>
    <col min="18" max="18" width="1.28515625" customWidth="1"/>
    <col min="19" max="19" width="16.7109375" bestFit="1" customWidth="1"/>
    <col min="20" max="20" width="1.28515625" customWidth="1"/>
    <col min="21" max="21" width="17.28515625" bestFit="1" customWidth="1"/>
    <col min="22" max="22" width="0.28515625" customWidth="1"/>
  </cols>
  <sheetData>
    <row r="1" spans="1:21" ht="25.5">
      <c r="A1" s="120" t="str">
        <f>سهام!A1</f>
        <v>صندوق سرمایه‌گذاری افق دماوند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</row>
    <row r="2" spans="1:21" ht="25.5">
      <c r="A2" s="120" t="s">
        <v>57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</row>
    <row r="3" spans="1:21" ht="25.5">
      <c r="A3" s="120" t="str">
        <f>سهام!A3</f>
        <v>برای ماه منتهی به 1405/05/31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</row>
    <row r="5" spans="1:21" ht="24">
      <c r="A5" s="121" t="s">
        <v>124</v>
      </c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</row>
    <row r="6" spans="1:21" ht="21">
      <c r="C6" s="122" t="s">
        <v>72</v>
      </c>
      <c r="D6" s="122"/>
      <c r="E6" s="122"/>
      <c r="F6" s="122"/>
      <c r="G6" s="122"/>
      <c r="H6" s="122"/>
      <c r="I6" s="122"/>
      <c r="J6" s="122"/>
      <c r="K6" s="122"/>
      <c r="M6" s="122" t="s">
        <v>73</v>
      </c>
      <c r="N6" s="122"/>
      <c r="O6" s="122"/>
      <c r="P6" s="122"/>
      <c r="Q6" s="122"/>
      <c r="R6" s="122"/>
      <c r="S6" s="122"/>
      <c r="T6" s="122"/>
      <c r="U6" s="122"/>
    </row>
    <row r="7" spans="1:21" ht="21">
      <c r="C7" s="3"/>
      <c r="D7" s="3"/>
      <c r="E7" s="3"/>
      <c r="F7" s="3"/>
      <c r="G7" s="3"/>
      <c r="H7" s="3"/>
      <c r="I7" s="123" t="s">
        <v>36</v>
      </c>
      <c r="J7" s="123"/>
      <c r="K7" s="123"/>
      <c r="M7" s="3"/>
      <c r="N7" s="3"/>
      <c r="O7" s="3"/>
      <c r="P7" s="3"/>
      <c r="Q7" s="3"/>
      <c r="R7" s="3"/>
      <c r="S7" s="123" t="s">
        <v>36</v>
      </c>
      <c r="T7" s="123"/>
      <c r="U7" s="123"/>
    </row>
    <row r="8" spans="1:21" ht="21">
      <c r="A8" s="40" t="s">
        <v>74</v>
      </c>
      <c r="C8" s="2" t="s">
        <v>75</v>
      </c>
      <c r="E8" s="2" t="s">
        <v>76</v>
      </c>
      <c r="G8" s="2" t="s">
        <v>77</v>
      </c>
      <c r="I8" s="4" t="s">
        <v>54</v>
      </c>
      <c r="J8" s="3"/>
      <c r="K8" s="4" t="s">
        <v>62</v>
      </c>
      <c r="M8" s="2" t="s">
        <v>75</v>
      </c>
      <c r="N8" s="9"/>
      <c r="O8" s="40" t="s">
        <v>76</v>
      </c>
      <c r="P8" s="9"/>
      <c r="Q8" s="2" t="s">
        <v>77</v>
      </c>
      <c r="S8" s="4" t="s">
        <v>54</v>
      </c>
      <c r="T8" s="3"/>
      <c r="U8" s="4" t="s">
        <v>62</v>
      </c>
    </row>
    <row r="9" spans="1:21" ht="18.75">
      <c r="A9" s="12" t="s">
        <v>24</v>
      </c>
      <c r="C9" s="41">
        <f>IFERROR(VLOOKUP(A9,'درآمد سود سهام'!A:S,9,0),0)</f>
        <v>1090336500</v>
      </c>
      <c r="D9" s="41"/>
      <c r="E9" s="41">
        <f>IFERROR(VLOOKUP(A9,'درآمد ناشی از تغییر قیمت اوراق'!A:Q,9,0),0)</f>
        <v>2488388858</v>
      </c>
      <c r="F9" s="41"/>
      <c r="G9" s="41">
        <f>IFERROR(VLOOKUP(A9,'درآمد ناشی از فروش'!A:Q,9,0),0)</f>
        <v>0</v>
      </c>
      <c r="H9" s="41"/>
      <c r="I9" s="41">
        <f>C9+E9+G9</f>
        <v>3578725358</v>
      </c>
      <c r="J9" s="41"/>
      <c r="K9" s="86">
        <f>I9/490862349834*100</f>
        <v>0.72906902703176446</v>
      </c>
      <c r="L9" s="41"/>
      <c r="M9" s="41">
        <f>IFERROR(VLOOKUP(A9,'درآمد سود سهام'!A:S,15,0),0)</f>
        <v>1090336500</v>
      </c>
      <c r="N9" s="41"/>
      <c r="O9" s="41">
        <f>IFERROR(VLOOKUP(A9,'درآمد ناشی از تغییر قیمت اوراق'!A:Q,17,0),0)</f>
        <v>2954592936</v>
      </c>
      <c r="P9" s="41"/>
      <c r="Q9" s="41">
        <f>IFERROR(VLOOKUP(A9,'درآمد ناشی از فروش'!A:Q,17,0),0)</f>
        <v>0</v>
      </c>
      <c r="R9" s="41"/>
      <c r="S9" s="41">
        <f>M9+O9+Q9</f>
        <v>4044929436</v>
      </c>
      <c r="T9" s="41"/>
      <c r="U9" s="86">
        <f>S9/درآمد!$F$12*100</f>
        <v>0.53737820665181013</v>
      </c>
    </row>
    <row r="10" spans="1:21" ht="18.75">
      <c r="A10" s="12" t="s">
        <v>17</v>
      </c>
      <c r="C10" s="41">
        <f>IFERROR(VLOOKUP(A10,'درآمد سود سهام'!A:S,9,0),0)</f>
        <v>0</v>
      </c>
      <c r="D10" s="41"/>
      <c r="E10" s="41">
        <f>IFERROR(VLOOKUP(A10,'درآمد ناشی از تغییر قیمت اوراق'!A:Q,9,0),0)</f>
        <v>-141619196</v>
      </c>
      <c r="F10" s="41"/>
      <c r="G10" s="41">
        <f>IFERROR(VLOOKUP(A10,'درآمد ناشی از فروش'!A:Q,9,0),0)</f>
        <v>0</v>
      </c>
      <c r="H10" s="41"/>
      <c r="I10" s="41">
        <f t="shared" ref="I10:I73" si="0">C10+E10+G10</f>
        <v>-141619196</v>
      </c>
      <c r="J10" s="41"/>
      <c r="K10" s="86">
        <f t="shared" ref="K10:K73" si="1">I10/490862349834*100</f>
        <v>-2.8851101749378993E-2</v>
      </c>
      <c r="L10" s="41"/>
      <c r="M10" s="41">
        <f>IFERROR(VLOOKUP(A10,'درآمد سود سهام'!A:S,15,0),0)</f>
        <v>7062721888</v>
      </c>
      <c r="N10" s="41"/>
      <c r="O10" s="41">
        <f>IFERROR(VLOOKUP(A10,'درآمد ناشی از تغییر قیمت اوراق'!A:Q,17,0),0)</f>
        <v>546245468</v>
      </c>
      <c r="P10" s="41"/>
      <c r="Q10" s="41">
        <f>IFERROR(VLOOKUP(A10,'درآمد ناشی از فروش'!A:Q,17,0),0)</f>
        <v>0</v>
      </c>
      <c r="R10" s="41"/>
      <c r="S10" s="41">
        <f t="shared" ref="S10:S73" si="2">M10+O10+Q10</f>
        <v>7608967356</v>
      </c>
      <c r="T10" s="41"/>
      <c r="U10" s="86">
        <f>S10/درآمد!$F$12*100</f>
        <v>1.0108688660544152</v>
      </c>
    </row>
    <row r="11" spans="1:21" ht="18.75">
      <c r="A11" s="12" t="s">
        <v>22</v>
      </c>
      <c r="C11" s="41">
        <f>IFERROR(VLOOKUP(A11,'درآمد سود سهام'!A:S,9,0),0)</f>
        <v>0</v>
      </c>
      <c r="D11" s="41"/>
      <c r="E11" s="41">
        <f>IFERROR(VLOOKUP(A11,'درآمد ناشی از تغییر قیمت اوراق'!A:Q,9,0),0)</f>
        <v>745430931</v>
      </c>
      <c r="F11" s="41"/>
      <c r="G11" s="41">
        <f>IFERROR(VLOOKUP(A11,'درآمد ناشی از فروش'!A:Q,9,0),0)</f>
        <v>0</v>
      </c>
      <c r="H11" s="41"/>
      <c r="I11" s="41">
        <f t="shared" si="0"/>
        <v>745430931</v>
      </c>
      <c r="J11" s="41"/>
      <c r="K11" s="86">
        <f t="shared" si="1"/>
        <v>0.15186150073479665</v>
      </c>
      <c r="L11" s="41"/>
      <c r="M11" s="41">
        <f>IFERROR(VLOOKUP(A11,'درآمد سود سهام'!A:S,15,0),0)</f>
        <v>319276150</v>
      </c>
      <c r="N11" s="41"/>
      <c r="O11" s="41">
        <f>IFERROR(VLOOKUP(A11,'درآمد ناشی از تغییر قیمت اوراق'!A:Q,17,0),0)</f>
        <v>1026085676</v>
      </c>
      <c r="P11" s="41"/>
      <c r="Q11" s="41">
        <f>IFERROR(VLOOKUP(A11,'درآمد ناشی از فروش'!A:Q,17,0),0)</f>
        <v>0</v>
      </c>
      <c r="R11" s="41"/>
      <c r="S11" s="41">
        <f t="shared" si="2"/>
        <v>1345361826</v>
      </c>
      <c r="T11" s="41"/>
      <c r="U11" s="86">
        <f>S11/درآمد!$F$12*100</f>
        <v>0.17873442214325061</v>
      </c>
    </row>
    <row r="12" spans="1:21" ht="18.75">
      <c r="A12" s="12" t="s">
        <v>161</v>
      </c>
      <c r="C12" s="41">
        <f>IFERROR(VLOOKUP(A12,'درآمد سود سهام'!A:S,9,0),0)</f>
        <v>0</v>
      </c>
      <c r="D12" s="41"/>
      <c r="E12" s="41">
        <f>IFERROR(VLOOKUP(A12,'درآمد ناشی از تغییر قیمت اوراق'!A:Q,9,0),0)</f>
        <v>-8925643744</v>
      </c>
      <c r="F12" s="41"/>
      <c r="G12" s="41">
        <f>IFERROR(VLOOKUP(A12,'درآمد ناشی از فروش'!A:Q,9,0),0)</f>
        <v>0</v>
      </c>
      <c r="H12" s="41"/>
      <c r="I12" s="41">
        <f t="shared" si="0"/>
        <v>-8925643744</v>
      </c>
      <c r="J12" s="41"/>
      <c r="K12" s="86">
        <f t="shared" si="1"/>
        <v>-1.818359820633723</v>
      </c>
      <c r="L12" s="41"/>
      <c r="M12" s="41">
        <f>IFERROR(VLOOKUP(A12,'درآمد سود سهام'!A:S,15,0),0)</f>
        <v>613763400</v>
      </c>
      <c r="N12" s="41"/>
      <c r="O12" s="41">
        <f>IFERROR(VLOOKUP(A12,'درآمد ناشی از تغییر قیمت اوراق'!A:Q,17,0),0)</f>
        <v>-7001117767</v>
      </c>
      <c r="P12" s="41"/>
      <c r="Q12" s="41">
        <f>IFERROR(VLOOKUP(A12,'درآمد ناشی از فروش'!A:Q,17,0),0)</f>
        <v>0</v>
      </c>
      <c r="R12" s="41"/>
      <c r="S12" s="41">
        <f t="shared" si="2"/>
        <v>-6387354367</v>
      </c>
      <c r="T12" s="41"/>
      <c r="U12" s="86">
        <f>S12/درآمد!$F$12*100</f>
        <v>-0.8485747623776515</v>
      </c>
    </row>
    <row r="13" spans="1:21" ht="18.75">
      <c r="A13" s="12" t="s">
        <v>14</v>
      </c>
      <c r="C13" s="41">
        <f>IFERROR(VLOOKUP(A13,'درآمد سود سهام'!A:S,9,0),0)</f>
        <v>1447204595</v>
      </c>
      <c r="D13" s="41"/>
      <c r="E13" s="41">
        <f>IFERROR(VLOOKUP(A13,'درآمد ناشی از تغییر قیمت اوراق'!A:Q,9,0),0)</f>
        <v>3464207656</v>
      </c>
      <c r="F13" s="41"/>
      <c r="G13" s="41">
        <f>IFERROR(VLOOKUP(A13,'درآمد ناشی از فروش'!A:Q,9,0),0)</f>
        <v>0</v>
      </c>
      <c r="H13" s="41"/>
      <c r="I13" s="41">
        <f t="shared" si="0"/>
        <v>4911412251</v>
      </c>
      <c r="J13" s="41"/>
      <c r="K13" s="86">
        <f t="shared" si="1"/>
        <v>1.0005681333394063</v>
      </c>
      <c r="L13" s="41"/>
      <c r="M13" s="41">
        <f>IFERROR(VLOOKUP(A13,'درآمد سود سهام'!A:S,15,0),0)</f>
        <v>1447204595</v>
      </c>
      <c r="N13" s="41"/>
      <c r="O13" s="41">
        <f>IFERROR(VLOOKUP(A13,'درآمد ناشی از تغییر قیمت اوراق'!A:Q,17,0),0)</f>
        <v>4589334928</v>
      </c>
      <c r="P13" s="41"/>
      <c r="Q13" s="41">
        <f>IFERROR(VLOOKUP(A13,'درآمد ناشی از فروش'!A:Q,17,0),0)</f>
        <v>0</v>
      </c>
      <c r="R13" s="41"/>
      <c r="S13" s="41">
        <f t="shared" si="2"/>
        <v>6036539523</v>
      </c>
      <c r="T13" s="41"/>
      <c r="U13" s="86">
        <f>S13/درآمد!$F$12*100</f>
        <v>0.80196820107210232</v>
      </c>
    </row>
    <row r="14" spans="1:21" ht="18.75">
      <c r="A14" s="12" t="s">
        <v>16</v>
      </c>
      <c r="C14" s="41">
        <f>IFERROR(VLOOKUP(A14,'درآمد سود سهام'!A:S,9,0),0)</f>
        <v>0</v>
      </c>
      <c r="D14" s="41"/>
      <c r="E14" s="41">
        <f>IFERROR(VLOOKUP(A14,'درآمد ناشی از تغییر قیمت اوراق'!A:Q,9,0),0)</f>
        <v>0</v>
      </c>
      <c r="F14" s="41"/>
      <c r="G14" s="41">
        <f>IFERROR(VLOOKUP(A14,'درآمد ناشی از فروش'!A:Q,9,0),0)</f>
        <v>0</v>
      </c>
      <c r="H14" s="41"/>
      <c r="I14" s="41">
        <f t="shared" si="0"/>
        <v>0</v>
      </c>
      <c r="J14" s="41"/>
      <c r="K14" s="86">
        <f t="shared" si="1"/>
        <v>0</v>
      </c>
      <c r="L14" s="41"/>
      <c r="M14" s="41">
        <f>IFERROR(VLOOKUP(A14,'درآمد سود سهام'!A:S,15,0),0)</f>
        <v>1035982500</v>
      </c>
      <c r="N14" s="41"/>
      <c r="O14" s="41">
        <f>IFERROR(VLOOKUP(A14,'درآمد ناشی از تغییر قیمت اوراق'!A:Q,17,0),0)</f>
        <v>-1027974355</v>
      </c>
      <c r="P14" s="41"/>
      <c r="Q14" s="41">
        <f>IFERROR(VLOOKUP(A14,'درآمد ناشی از فروش'!A:Q,17,0),0)</f>
        <v>0</v>
      </c>
      <c r="R14" s="41"/>
      <c r="S14" s="41">
        <f t="shared" si="2"/>
        <v>8008145</v>
      </c>
      <c r="T14" s="41"/>
      <c r="U14" s="86">
        <f>S14/درآمد!$F$12*100</f>
        <v>1.0639005369060929E-3</v>
      </c>
    </row>
    <row r="15" spans="1:21" ht="18.75">
      <c r="A15" s="12" t="s">
        <v>150</v>
      </c>
      <c r="C15" s="41">
        <f>IFERROR(VLOOKUP(A15,'درآمد سود سهام'!A:S,9,0),0)</f>
        <v>0</v>
      </c>
      <c r="D15" s="41"/>
      <c r="E15" s="41">
        <f>IFERROR(VLOOKUP(A15,'درآمد ناشی از تغییر قیمت اوراق'!A:Q,9,0),0)</f>
        <v>5523622623</v>
      </c>
      <c r="F15" s="41"/>
      <c r="G15" s="41">
        <f>IFERROR(VLOOKUP(A15,'درآمد ناشی از فروش'!A:Q,9,0),0)</f>
        <v>0</v>
      </c>
      <c r="H15" s="41"/>
      <c r="I15" s="41">
        <f t="shared" si="0"/>
        <v>5523622623</v>
      </c>
      <c r="J15" s="41"/>
      <c r="K15" s="86">
        <f t="shared" si="1"/>
        <v>1.1252895286973996</v>
      </c>
      <c r="L15" s="41"/>
      <c r="M15" s="41">
        <f>IFERROR(VLOOKUP(A15,'درآمد سود سهام'!A:S,15,0),0)</f>
        <v>3711101900</v>
      </c>
      <c r="N15" s="41"/>
      <c r="O15" s="41">
        <f>IFERROR(VLOOKUP(A15,'درآمد ناشی از تغییر قیمت اوراق'!A:Q,17,0),0)</f>
        <v>27869511684</v>
      </c>
      <c r="P15" s="41"/>
      <c r="Q15" s="41">
        <f>IFERROR(VLOOKUP(A15,'درآمد ناشی از فروش'!A:Q,17,0),0)</f>
        <v>0</v>
      </c>
      <c r="R15" s="41"/>
      <c r="S15" s="41">
        <f t="shared" si="2"/>
        <v>31580613584</v>
      </c>
      <c r="T15" s="41"/>
      <c r="U15" s="86">
        <f>S15/درآمد!$F$12*100</f>
        <v>4.1955573666362751</v>
      </c>
    </row>
    <row r="16" spans="1:21" ht="18.75">
      <c r="A16" s="12" t="s">
        <v>34</v>
      </c>
      <c r="C16" s="41">
        <f>IFERROR(VLOOKUP(A16,'درآمد سود سهام'!A:S,9,0),0)</f>
        <v>0</v>
      </c>
      <c r="D16" s="41"/>
      <c r="E16" s="41">
        <f>IFERROR(VLOOKUP(A16,'درآمد ناشی از تغییر قیمت اوراق'!A:Q,9,0),0)</f>
        <v>3286349499</v>
      </c>
      <c r="F16" s="41"/>
      <c r="G16" s="41">
        <f>IFERROR(VLOOKUP(A16,'درآمد ناشی از فروش'!A:Q,9,0),0)</f>
        <v>0</v>
      </c>
      <c r="H16" s="41"/>
      <c r="I16" s="41">
        <f t="shared" si="0"/>
        <v>3286349499</v>
      </c>
      <c r="J16" s="41"/>
      <c r="K16" s="86">
        <f t="shared" si="1"/>
        <v>0.6695053104218277</v>
      </c>
      <c r="L16" s="41"/>
      <c r="M16" s="41">
        <f>IFERROR(VLOOKUP(A16,'درآمد سود سهام'!A:S,15,0),0)</f>
        <v>2757022940</v>
      </c>
      <c r="N16" s="41"/>
      <c r="O16" s="41">
        <f>IFERROR(VLOOKUP(A16,'درآمد ناشی از تغییر قیمت اوراق'!A:Q,17,0),0)</f>
        <v>3426194159</v>
      </c>
      <c r="P16" s="41"/>
      <c r="Q16" s="41">
        <f>IFERROR(VLOOKUP(A16,'درآمد ناشی از فروش'!A:Q,17,0),0)</f>
        <v>0</v>
      </c>
      <c r="R16" s="41"/>
      <c r="S16" s="41">
        <f t="shared" si="2"/>
        <v>6183217099</v>
      </c>
      <c r="T16" s="41"/>
      <c r="U16" s="86">
        <f>S16/درآمد!$F$12*100</f>
        <v>0.82145465540809193</v>
      </c>
    </row>
    <row r="17" spans="1:21" ht="18.75">
      <c r="A17" s="12" t="s">
        <v>31</v>
      </c>
      <c r="C17" s="41">
        <f>IFERROR(VLOOKUP(A17,'درآمد سود سهام'!A:S,9,0),0)</f>
        <v>0</v>
      </c>
      <c r="D17" s="41"/>
      <c r="E17" s="41">
        <f>IFERROR(VLOOKUP(A17,'درآمد ناشی از تغییر قیمت اوراق'!A:Q,9,0),0)</f>
        <v>6834755760</v>
      </c>
      <c r="F17" s="41"/>
      <c r="G17" s="41">
        <f>IFERROR(VLOOKUP(A17,'درآمد ناشی از فروش'!A:Q,9,0),0)</f>
        <v>0</v>
      </c>
      <c r="H17" s="41"/>
      <c r="I17" s="41">
        <f t="shared" si="0"/>
        <v>6834755760</v>
      </c>
      <c r="J17" s="41"/>
      <c r="K17" s="86">
        <f t="shared" si="1"/>
        <v>1.3923976369977002</v>
      </c>
      <c r="L17" s="41"/>
      <c r="M17" s="41">
        <f>IFERROR(VLOOKUP(A17,'درآمد سود سهام'!A:S,15,0),0)</f>
        <v>2292000000</v>
      </c>
      <c r="N17" s="41"/>
      <c r="O17" s="41">
        <f>IFERROR(VLOOKUP(A17,'درآمد ناشی از تغییر قیمت اوراق'!A:Q,17,0),0)</f>
        <v>20635246920</v>
      </c>
      <c r="P17" s="41"/>
      <c r="Q17" s="41">
        <f>IFERROR(VLOOKUP(A17,'درآمد ناشی از فروش'!A:Q,17,0),0)</f>
        <v>0</v>
      </c>
      <c r="R17" s="41"/>
      <c r="S17" s="41">
        <f t="shared" si="2"/>
        <v>22927246920</v>
      </c>
      <c r="T17" s="41"/>
      <c r="U17" s="86">
        <f>S17/درآمد!$F$12*100</f>
        <v>3.0459376432328042</v>
      </c>
    </row>
    <row r="18" spans="1:21" ht="18.75">
      <c r="A18" s="12" t="s">
        <v>162</v>
      </c>
      <c r="C18" s="41">
        <f>IFERROR(VLOOKUP(A18,'درآمد سود سهام'!A:S,9,0),0)</f>
        <v>1664600000</v>
      </c>
      <c r="D18" s="41"/>
      <c r="E18" s="41">
        <f>IFERROR(VLOOKUP(A18,'درآمد ناشی از تغییر قیمت اوراق'!A:Q,9,0),0)</f>
        <v>-1863791120</v>
      </c>
      <c r="F18" s="41"/>
      <c r="G18" s="41">
        <f>IFERROR(VLOOKUP(A18,'درآمد ناشی از فروش'!A:Q,9,0),0)</f>
        <v>0</v>
      </c>
      <c r="H18" s="41"/>
      <c r="I18" s="41">
        <f t="shared" si="0"/>
        <v>-199191120</v>
      </c>
      <c r="J18" s="41"/>
      <c r="K18" s="86">
        <f t="shared" si="1"/>
        <v>-4.0579832628712009E-2</v>
      </c>
      <c r="L18" s="41"/>
      <c r="M18" s="41">
        <f>IFERROR(VLOOKUP(A18,'درآمد سود سهام'!A:S,15,0),0)</f>
        <v>1664600000</v>
      </c>
      <c r="N18" s="41"/>
      <c r="O18" s="41">
        <f>IFERROR(VLOOKUP(A18,'درآمد ناشی از تغییر قیمت اوراق'!A:Q,17,0),0)</f>
        <v>1283768398</v>
      </c>
      <c r="P18" s="41"/>
      <c r="Q18" s="41">
        <f>IFERROR(VLOOKUP(A18,'درآمد ناشی از فروش'!A:Q,17,0),0)</f>
        <v>0</v>
      </c>
      <c r="R18" s="41"/>
      <c r="S18" s="41">
        <f t="shared" si="2"/>
        <v>2948368398</v>
      </c>
      <c r="T18" s="41"/>
      <c r="U18" s="86">
        <f>S18/درآمد!$F$12*100</f>
        <v>0.39169754314253263</v>
      </c>
    </row>
    <row r="19" spans="1:21" ht="18.75">
      <c r="A19" s="12" t="s">
        <v>21</v>
      </c>
      <c r="C19" s="41">
        <f>IFERROR(VLOOKUP(A19,'درآمد سود سهام'!A:S,9,0),0)</f>
        <v>0</v>
      </c>
      <c r="D19" s="41"/>
      <c r="E19" s="41">
        <f>IFERROR(VLOOKUP(A19,'درآمد ناشی از تغییر قیمت اوراق'!A:Q,9,0),0)</f>
        <v>4275285681</v>
      </c>
      <c r="F19" s="41"/>
      <c r="G19" s="41">
        <f>IFERROR(VLOOKUP(A19,'درآمد ناشی از فروش'!A:Q,9,0),0)</f>
        <v>0</v>
      </c>
      <c r="H19" s="41"/>
      <c r="I19" s="41">
        <f t="shared" si="0"/>
        <v>4275285681</v>
      </c>
      <c r="J19" s="41"/>
      <c r="K19" s="86">
        <f t="shared" si="1"/>
        <v>0.87097445596424694</v>
      </c>
      <c r="L19" s="41"/>
      <c r="M19" s="41">
        <f>IFERROR(VLOOKUP(A19,'درآمد سود سهام'!A:S,15,0),0)</f>
        <v>2318545000</v>
      </c>
      <c r="N19" s="41"/>
      <c r="O19" s="41">
        <f>IFERROR(VLOOKUP(A19,'درآمد ناشی از تغییر قیمت اوراق'!A:Q,17,0),0)</f>
        <v>4134058869</v>
      </c>
      <c r="P19" s="41"/>
      <c r="Q19" s="41">
        <f>IFERROR(VLOOKUP(A19,'درآمد ناشی از فروش'!A:Q,17,0),0)</f>
        <v>0</v>
      </c>
      <c r="R19" s="41"/>
      <c r="S19" s="41">
        <f t="shared" si="2"/>
        <v>6452603869</v>
      </c>
      <c r="T19" s="41"/>
      <c r="U19" s="86">
        <f>S19/درآمد!$F$12*100</f>
        <v>0.85724330923970937</v>
      </c>
    </row>
    <row r="20" spans="1:21" ht="18.75">
      <c r="A20" s="12" t="s">
        <v>27</v>
      </c>
      <c r="C20" s="41">
        <f>IFERROR(VLOOKUP(A20,'درآمد سود سهام'!A:S,9,0),0)</f>
        <v>0</v>
      </c>
      <c r="D20" s="41"/>
      <c r="E20" s="41">
        <f>IFERROR(VLOOKUP(A20,'درآمد ناشی از تغییر قیمت اوراق'!A:Q,9,0),0)</f>
        <v>17839054387</v>
      </c>
      <c r="F20" s="41"/>
      <c r="G20" s="41">
        <f>IFERROR(VLOOKUP(A20,'درآمد ناشی از فروش'!A:Q,9,0),0)</f>
        <v>0</v>
      </c>
      <c r="H20" s="41"/>
      <c r="I20" s="41">
        <f t="shared" si="0"/>
        <v>17839054387</v>
      </c>
      <c r="J20" s="41"/>
      <c r="K20" s="86">
        <f t="shared" si="1"/>
        <v>3.6342274759986823</v>
      </c>
      <c r="L20" s="41"/>
      <c r="M20" s="41">
        <f>IFERROR(VLOOKUP(A20,'درآمد سود سهام'!A:S,15,0),0)</f>
        <v>9349750355</v>
      </c>
      <c r="N20" s="41"/>
      <c r="O20" s="41">
        <f>IFERROR(VLOOKUP(A20,'درآمد ناشی از تغییر قیمت اوراق'!A:Q,17,0),0)</f>
        <v>28950024608</v>
      </c>
      <c r="P20" s="41"/>
      <c r="Q20" s="41">
        <f>IFERROR(VLOOKUP(A20,'درآمد ناشی از فروش'!A:Q,17,0),0)</f>
        <v>0</v>
      </c>
      <c r="R20" s="41"/>
      <c r="S20" s="41">
        <f t="shared" si="2"/>
        <v>38299774963</v>
      </c>
      <c r="T20" s="41"/>
      <c r="U20" s="86">
        <f>S20/درآمد!$F$12*100</f>
        <v>5.0882134559898997</v>
      </c>
    </row>
    <row r="21" spans="1:21" ht="18.75">
      <c r="A21" s="12" t="s">
        <v>30</v>
      </c>
      <c r="C21" s="41">
        <f>IFERROR(VLOOKUP(A21,'درآمد سود سهام'!A:S,9,0),0)</f>
        <v>0</v>
      </c>
      <c r="D21" s="41"/>
      <c r="E21" s="41">
        <f>IFERROR(VLOOKUP(A21,'درآمد ناشی از تغییر قیمت اوراق'!A:Q,9,0),0)</f>
        <v>1707629851</v>
      </c>
      <c r="F21" s="41"/>
      <c r="G21" s="41">
        <f>IFERROR(VLOOKUP(A21,'درآمد ناشی از فروش'!A:Q,9,0),0)</f>
        <v>0</v>
      </c>
      <c r="H21" s="41"/>
      <c r="I21" s="41">
        <f t="shared" si="0"/>
        <v>1707629851</v>
      </c>
      <c r="J21" s="41"/>
      <c r="K21" s="86">
        <f t="shared" si="1"/>
        <v>0.34788364835426611</v>
      </c>
      <c r="L21" s="41"/>
      <c r="M21" s="41">
        <f>IFERROR(VLOOKUP(A21,'درآمد سود سهام'!A:S,15,0),0)</f>
        <v>255389550</v>
      </c>
      <c r="N21" s="41"/>
      <c r="O21" s="41">
        <f>IFERROR(VLOOKUP(A21,'درآمد ناشی از تغییر قیمت اوراق'!A:Q,17,0),0)</f>
        <v>6655077979</v>
      </c>
      <c r="P21" s="41"/>
      <c r="Q21" s="41">
        <f>IFERROR(VLOOKUP(A21,'درآمد ناشی از فروش'!A:Q,17,0),0)</f>
        <v>0</v>
      </c>
      <c r="R21" s="41"/>
      <c r="S21" s="41">
        <f t="shared" si="2"/>
        <v>6910467529</v>
      </c>
      <c r="T21" s="41"/>
      <c r="U21" s="86">
        <f>S21/درآمد!$F$12*100</f>
        <v>0.91807155269731278</v>
      </c>
    </row>
    <row r="22" spans="1:21" ht="18.75">
      <c r="A22" s="12" t="s">
        <v>26</v>
      </c>
      <c r="C22" s="41">
        <f>IFERROR(VLOOKUP(A22,'درآمد سود سهام'!A:S,9,0),0)</f>
        <v>0</v>
      </c>
      <c r="D22" s="41"/>
      <c r="E22" s="41">
        <f>IFERROR(VLOOKUP(A22,'درآمد ناشی از تغییر قیمت اوراق'!A:Q,9,0),0)</f>
        <v>65972223402</v>
      </c>
      <c r="F22" s="41"/>
      <c r="G22" s="41">
        <f>IFERROR(VLOOKUP(A22,'درآمد ناشی از فروش'!A:Q,9,0),0)</f>
        <v>0</v>
      </c>
      <c r="H22" s="41"/>
      <c r="I22" s="41">
        <f t="shared" si="0"/>
        <v>65972223402</v>
      </c>
      <c r="J22" s="41"/>
      <c r="K22" s="86">
        <f t="shared" si="1"/>
        <v>13.440065921599102</v>
      </c>
      <c r="L22" s="41"/>
      <c r="M22" s="41">
        <f>IFERROR(VLOOKUP(A22,'درآمد سود سهام'!A:S,15,0),0)</f>
        <v>15689949600</v>
      </c>
      <c r="N22" s="41"/>
      <c r="O22" s="41">
        <f>IFERROR(VLOOKUP(A22,'درآمد ناشی از تغییر قیمت اوراق'!A:Q,17,0),0)</f>
        <v>96766593099</v>
      </c>
      <c r="P22" s="41"/>
      <c r="Q22" s="41">
        <f>IFERROR(VLOOKUP(A22,'درآمد ناشی از فروش'!A:Q,17,0),0)</f>
        <v>0</v>
      </c>
      <c r="R22" s="41"/>
      <c r="S22" s="41">
        <f t="shared" si="2"/>
        <v>112456542699</v>
      </c>
      <c r="T22" s="41"/>
      <c r="U22" s="86">
        <f>S22/درآمد!$F$12*100</f>
        <v>14.940111118875729</v>
      </c>
    </row>
    <row r="23" spans="1:21" ht="18.75">
      <c r="A23" s="12" t="s">
        <v>20</v>
      </c>
      <c r="C23" s="41">
        <f>IFERROR(VLOOKUP(A23,'درآمد سود سهام'!A:S,9,0),0)</f>
        <v>0</v>
      </c>
      <c r="D23" s="41"/>
      <c r="E23" s="41">
        <f>IFERROR(VLOOKUP(A23,'درآمد ناشی از تغییر قیمت اوراق'!A:Q,9,0),0)</f>
        <v>490578288</v>
      </c>
      <c r="F23" s="41"/>
      <c r="G23" s="41">
        <f>IFERROR(VLOOKUP(A23,'درآمد ناشی از فروش'!A:Q,9,0),0)</f>
        <v>0</v>
      </c>
      <c r="H23" s="41"/>
      <c r="I23" s="41">
        <f t="shared" si="0"/>
        <v>490578288</v>
      </c>
      <c r="J23" s="41"/>
      <c r="K23" s="86">
        <f t="shared" si="1"/>
        <v>9.9942130042343619E-2</v>
      </c>
      <c r="L23" s="41"/>
      <c r="M23" s="41">
        <f>IFERROR(VLOOKUP(A23,'درآمد سود سهام'!A:S,15,0),0)</f>
        <v>384000000</v>
      </c>
      <c r="N23" s="41"/>
      <c r="O23" s="41">
        <f>IFERROR(VLOOKUP(A23,'درآمد ناشی از تغییر قیمت اوراق'!A:Q,17,0),0)</f>
        <v>1324085088</v>
      </c>
      <c r="P23" s="41"/>
      <c r="Q23" s="41">
        <f>IFERROR(VLOOKUP(A23,'درآمد ناشی از فروش'!A:Q,17,0),0)</f>
        <v>0</v>
      </c>
      <c r="R23" s="41"/>
      <c r="S23" s="41">
        <f t="shared" si="2"/>
        <v>1708085088</v>
      </c>
      <c r="T23" s="41"/>
      <c r="U23" s="86">
        <f>S23/درآمد!$F$12*100</f>
        <v>0.22692304425113319</v>
      </c>
    </row>
    <row r="24" spans="1:21" ht="18.75">
      <c r="A24" s="12" t="s">
        <v>167</v>
      </c>
      <c r="C24" s="41">
        <f>IFERROR(VLOOKUP(A24,'درآمد سود سهام'!A:S,9,0),0)</f>
        <v>2376000000</v>
      </c>
      <c r="D24" s="41"/>
      <c r="E24" s="41">
        <f>IFERROR(VLOOKUP(A24,'درآمد ناشی از تغییر قیمت اوراق'!A:Q,9,0),0)</f>
        <v>48833007700</v>
      </c>
      <c r="F24" s="41"/>
      <c r="G24" s="41">
        <f>IFERROR(VLOOKUP(A24,'درآمد ناشی از فروش'!A:Q,9,0),0)</f>
        <v>-13918</v>
      </c>
      <c r="H24" s="41"/>
      <c r="I24" s="41">
        <f t="shared" si="0"/>
        <v>51208993782</v>
      </c>
      <c r="J24" s="41"/>
      <c r="K24" s="86">
        <f t="shared" si="1"/>
        <v>10.432455004813034</v>
      </c>
      <c r="L24" s="41"/>
      <c r="M24" s="41">
        <f>IFERROR(VLOOKUP(A24,'درآمد سود سهام'!A:S,15,0),0)</f>
        <v>2376000000</v>
      </c>
      <c r="N24" s="41"/>
      <c r="O24" s="41">
        <f>IFERROR(VLOOKUP(A24,'درآمد ناشی از تغییر قیمت اوراق'!A:Q,17,0),0)</f>
        <v>59099331208</v>
      </c>
      <c r="P24" s="41"/>
      <c r="Q24" s="41">
        <f>IFERROR(VLOOKUP(A24,'درآمد ناشی از فروش'!A:Q,17,0),0)</f>
        <v>-13918</v>
      </c>
      <c r="R24" s="41"/>
      <c r="S24" s="41">
        <f t="shared" si="2"/>
        <v>61475317290</v>
      </c>
      <c r="T24" s="41"/>
      <c r="U24" s="86">
        <f>S24/درآمد!$F$12*100</f>
        <v>8.1671377168249855</v>
      </c>
    </row>
    <row r="25" spans="1:21" ht="18.75">
      <c r="A25" s="12" t="s">
        <v>172</v>
      </c>
      <c r="C25" s="41">
        <f>IFERROR(VLOOKUP(A25,'درآمد سود سهام'!A:S,9,0),0)</f>
        <v>0</v>
      </c>
      <c r="D25" s="41"/>
      <c r="E25" s="41">
        <f>IFERROR(VLOOKUP(A25,'درآمد ناشی از تغییر قیمت اوراق'!A:Q,9,0),0)</f>
        <v>303707979</v>
      </c>
      <c r="F25" s="41"/>
      <c r="G25" s="41">
        <f>IFERROR(VLOOKUP(A25,'درآمد ناشی از فروش'!A:Q,9,0),0)</f>
        <v>666655881</v>
      </c>
      <c r="H25" s="41"/>
      <c r="I25" s="41">
        <f t="shared" si="0"/>
        <v>970363860</v>
      </c>
      <c r="J25" s="41"/>
      <c r="K25" s="86">
        <f t="shared" si="1"/>
        <v>0.19768553451454526</v>
      </c>
      <c r="L25" s="41"/>
      <c r="M25" s="41">
        <f>IFERROR(VLOOKUP(A25,'درآمد سود سهام'!A:S,15,0),0)</f>
        <v>0</v>
      </c>
      <c r="N25" s="41"/>
      <c r="O25" s="41">
        <f>IFERROR(VLOOKUP(A25,'درآمد ناشی از تغییر قیمت اوراق'!A:Q,17,0),0)</f>
        <v>1119133843</v>
      </c>
      <c r="P25" s="41"/>
      <c r="Q25" s="41">
        <f>IFERROR(VLOOKUP(A25,'درآمد ناشی از فروش'!A:Q,17,0),0)</f>
        <v>666655881</v>
      </c>
      <c r="R25" s="41"/>
      <c r="S25" s="41">
        <f t="shared" si="2"/>
        <v>1785789724</v>
      </c>
      <c r="T25" s="41"/>
      <c r="U25" s="86">
        <f>S25/درآمد!$F$12*100</f>
        <v>0.2372462843973209</v>
      </c>
    </row>
    <row r="26" spans="1:21" ht="18.75">
      <c r="A26" s="12" t="s">
        <v>35</v>
      </c>
      <c r="C26" s="41">
        <f>IFERROR(VLOOKUP(A26,'درآمد سود سهام'!A:S,9,0),0)</f>
        <v>0</v>
      </c>
      <c r="D26" s="41"/>
      <c r="E26" s="41">
        <f>IFERROR(VLOOKUP(A26,'درآمد ناشی از تغییر قیمت اوراق'!A:Q,9,0),0)</f>
        <v>2562768038</v>
      </c>
      <c r="F26" s="41"/>
      <c r="G26" s="41">
        <f>IFERROR(VLOOKUP(A26,'درآمد ناشی از فروش'!A:Q,9,0),0)</f>
        <v>443662922</v>
      </c>
      <c r="H26" s="41"/>
      <c r="I26" s="41">
        <f t="shared" si="0"/>
        <v>3006430960</v>
      </c>
      <c r="J26" s="41"/>
      <c r="K26" s="86">
        <f t="shared" si="1"/>
        <v>0.61247943767060475</v>
      </c>
      <c r="L26" s="41"/>
      <c r="M26" s="41">
        <f>IFERROR(VLOOKUP(A26,'درآمد سود سهام'!A:S,15,0),0)</f>
        <v>10159830290</v>
      </c>
      <c r="N26" s="41"/>
      <c r="O26" s="41">
        <f>IFERROR(VLOOKUP(A26,'درآمد ناشی از تغییر قیمت اوراق'!A:Q,17,0),0)</f>
        <v>22928831890</v>
      </c>
      <c r="P26" s="41"/>
      <c r="Q26" s="41">
        <f>IFERROR(VLOOKUP(A26,'درآمد ناشی از فروش'!A:Q,17,0),0)</f>
        <v>443662922</v>
      </c>
      <c r="R26" s="41"/>
      <c r="S26" s="41">
        <f t="shared" si="2"/>
        <v>33532325102</v>
      </c>
      <c r="T26" s="41"/>
      <c r="U26" s="86">
        <f>S26/درآمد!$F$12*100</f>
        <v>4.4548467441245707</v>
      </c>
    </row>
    <row r="27" spans="1:21" ht="18.75">
      <c r="A27" s="12" t="s">
        <v>210</v>
      </c>
      <c r="C27" s="41">
        <f>IFERROR(VLOOKUP(A27,'درآمد سود سهام'!A:S,9,0),0)</f>
        <v>0</v>
      </c>
      <c r="D27" s="41"/>
      <c r="E27" s="41">
        <f>IFERROR(VLOOKUP(A27,'درآمد ناشی از تغییر قیمت اوراق'!A:Q,9,0),0)</f>
        <v>5834045639</v>
      </c>
      <c r="F27" s="41"/>
      <c r="G27" s="41">
        <f>IFERROR(VLOOKUP(A27,'درآمد ناشی از فروش'!A:Q,9,0),0)</f>
        <v>-526</v>
      </c>
      <c r="H27" s="41"/>
      <c r="I27" s="41">
        <f t="shared" si="0"/>
        <v>5834045113</v>
      </c>
      <c r="J27" s="41"/>
      <c r="K27" s="86">
        <f t="shared" si="1"/>
        <v>1.1885297609345999</v>
      </c>
      <c r="L27" s="41"/>
      <c r="M27" s="41">
        <f>IFERROR(VLOOKUP(A27,'درآمد سود سهام'!A:S,15,0),0)</f>
        <v>0</v>
      </c>
      <c r="N27" s="41"/>
      <c r="O27" s="41">
        <f>IFERROR(VLOOKUP(A27,'درآمد ناشی از تغییر قیمت اوراق'!A:Q,17,0),0)</f>
        <v>5834045639</v>
      </c>
      <c r="P27" s="41"/>
      <c r="Q27" s="41">
        <f>IFERROR(VLOOKUP(A27,'درآمد ناشی از فروش'!A:Q,17,0),0)</f>
        <v>-526</v>
      </c>
      <c r="R27" s="41"/>
      <c r="S27" s="41">
        <f t="shared" si="2"/>
        <v>5834045113</v>
      </c>
      <c r="T27" s="41"/>
      <c r="U27" s="86">
        <f>S27/درآمد!$F$12*100</f>
        <v>0.77506635157768344</v>
      </c>
    </row>
    <row r="28" spans="1:21" ht="18.75">
      <c r="A28" s="12" t="s">
        <v>212</v>
      </c>
      <c r="C28" s="41">
        <f>IFERROR(VLOOKUP(A28,'درآمد سود سهام'!A:S,9,0),0)</f>
        <v>0</v>
      </c>
      <c r="D28" s="41"/>
      <c r="E28" s="41">
        <f>IFERROR(VLOOKUP(A28,'درآمد ناشی از تغییر قیمت اوراق'!A:Q,9,0),0)</f>
        <v>0</v>
      </c>
      <c r="F28" s="41"/>
      <c r="G28" s="41">
        <f>IFERROR(VLOOKUP(A28,'درآمد ناشی از فروش'!A:Q,9,0),0)</f>
        <v>519935004</v>
      </c>
      <c r="H28" s="41"/>
      <c r="I28" s="41">
        <f t="shared" si="0"/>
        <v>519935004</v>
      </c>
      <c r="J28" s="41"/>
      <c r="K28" s="86">
        <f t="shared" si="1"/>
        <v>0.10592277125671418</v>
      </c>
      <c r="L28" s="41"/>
      <c r="M28" s="41">
        <f>IFERROR(VLOOKUP(A28,'درآمد سود سهام'!A:S,15,0),0)</f>
        <v>0</v>
      </c>
      <c r="N28" s="41"/>
      <c r="O28" s="41">
        <f>IFERROR(VLOOKUP(A28,'درآمد ناشی از تغییر قیمت اوراق'!A:Q,17,0),0)</f>
        <v>0</v>
      </c>
      <c r="P28" s="41"/>
      <c r="Q28" s="41">
        <f>IFERROR(VLOOKUP(A28,'درآمد ناشی از فروش'!A:Q,17,0),0)</f>
        <v>519935004</v>
      </c>
      <c r="R28" s="41"/>
      <c r="S28" s="41">
        <f t="shared" si="2"/>
        <v>519935004</v>
      </c>
      <c r="T28" s="41"/>
      <c r="U28" s="86">
        <f>S28/درآمد!$F$12*100</f>
        <v>6.9074564697801002E-2</v>
      </c>
    </row>
    <row r="29" spans="1:21" ht="18.75">
      <c r="A29" s="12" t="s">
        <v>29</v>
      </c>
      <c r="C29" s="41">
        <f>IFERROR(VLOOKUP(A29,'درآمد سود سهام'!A:S,9,0),0)</f>
        <v>0</v>
      </c>
      <c r="D29" s="41"/>
      <c r="E29" s="41">
        <f>IFERROR(VLOOKUP(A29,'درآمد ناشی از تغییر قیمت اوراق'!A:Q,9,0),0)</f>
        <v>-6847154478</v>
      </c>
      <c r="F29" s="41"/>
      <c r="G29" s="41">
        <f>IFERROR(VLOOKUP(A29,'درآمد ناشی از فروش'!A:Q,9,0),0)</f>
        <v>12843018815</v>
      </c>
      <c r="H29" s="41"/>
      <c r="I29" s="41">
        <f t="shared" si="0"/>
        <v>5995864337</v>
      </c>
      <c r="J29" s="41"/>
      <c r="K29" s="86">
        <f t="shared" si="1"/>
        <v>1.2214960750254493</v>
      </c>
      <c r="L29" s="41"/>
      <c r="M29" s="41">
        <f>IFERROR(VLOOKUP(A29,'درآمد سود سهام'!A:S,15,0),0)</f>
        <v>0</v>
      </c>
      <c r="N29" s="41"/>
      <c r="O29" s="41">
        <f>IFERROR(VLOOKUP(A29,'درآمد ناشی از تغییر قیمت اوراق'!A:Q,17,0),0)</f>
        <v>6509397029</v>
      </c>
      <c r="P29" s="41"/>
      <c r="Q29" s="41">
        <f>IFERROR(VLOOKUP(A29,'درآمد ناشی از فروش'!A:Q,17,0),0)</f>
        <v>12843018815</v>
      </c>
      <c r="R29" s="41"/>
      <c r="S29" s="41">
        <f t="shared" si="2"/>
        <v>19352415844</v>
      </c>
      <c r="T29" s="41"/>
      <c r="U29" s="86">
        <f>S29/درآمد!$F$12*100</f>
        <v>2.5710130881573172</v>
      </c>
    </row>
    <row r="30" spans="1:21" ht="18.75">
      <c r="A30" s="12" t="s">
        <v>148</v>
      </c>
      <c r="C30" s="41">
        <f>IFERROR(VLOOKUP(A30,'درآمد سود سهام'!A:S,9,0),0)</f>
        <v>0</v>
      </c>
      <c r="D30" s="41"/>
      <c r="E30" s="41">
        <f>IFERROR(VLOOKUP(A30,'درآمد ناشی از تغییر قیمت اوراق'!A:Q,9,0),0)</f>
        <v>626122370</v>
      </c>
      <c r="F30" s="41"/>
      <c r="G30" s="41">
        <f>IFERROR(VLOOKUP(A30,'درآمد ناشی از فروش'!A:Q,9,0),0)</f>
        <v>0</v>
      </c>
      <c r="H30" s="41"/>
      <c r="I30" s="41">
        <f t="shared" si="0"/>
        <v>626122370</v>
      </c>
      <c r="J30" s="41"/>
      <c r="K30" s="86">
        <f t="shared" si="1"/>
        <v>0.12755559072960929</v>
      </c>
      <c r="L30" s="41"/>
      <c r="M30" s="41">
        <f>IFERROR(VLOOKUP(A30,'درآمد سود سهام'!A:S,15,0),0)</f>
        <v>5632638000</v>
      </c>
      <c r="N30" s="41"/>
      <c r="O30" s="41">
        <f>IFERROR(VLOOKUP(A30,'درآمد ناشی از تغییر قیمت اوراق'!A:Q,17,0),0)</f>
        <v>409609055</v>
      </c>
      <c r="P30" s="41"/>
      <c r="Q30" s="41">
        <f>IFERROR(VLOOKUP(A30,'درآمد ناشی از فروش'!A:Q,17,0),0)</f>
        <v>-7202645065</v>
      </c>
      <c r="R30" s="41"/>
      <c r="S30" s="41">
        <f t="shared" si="2"/>
        <v>-1160398010</v>
      </c>
      <c r="T30" s="41"/>
      <c r="U30" s="86">
        <f>S30/درآمد!$F$12*100</f>
        <v>-0.1541615525023288</v>
      </c>
    </row>
    <row r="31" spans="1:21" ht="18.75">
      <c r="A31" s="12" t="s">
        <v>18</v>
      </c>
      <c r="C31" s="41">
        <f>IFERROR(VLOOKUP(A31,'درآمد سود سهام'!A:S,9,0),0)</f>
        <v>0</v>
      </c>
      <c r="D31" s="41"/>
      <c r="E31" s="41">
        <f>IFERROR(VLOOKUP(A31,'درآمد ناشی از تغییر قیمت اوراق'!A:Q,9,0),0)</f>
        <v>7130708742</v>
      </c>
      <c r="F31" s="41"/>
      <c r="G31" s="41">
        <f>IFERROR(VLOOKUP(A31,'درآمد ناشی از فروش'!A:Q,9,0),0)</f>
        <v>0</v>
      </c>
      <c r="H31" s="41"/>
      <c r="I31" s="41">
        <f t="shared" si="0"/>
        <v>7130708742</v>
      </c>
      <c r="J31" s="41"/>
      <c r="K31" s="86">
        <f t="shared" si="1"/>
        <v>1.4526900961973281</v>
      </c>
      <c r="L31" s="41"/>
      <c r="M31" s="41">
        <f>IFERROR(VLOOKUP(A31,'درآمد سود سهام'!A:S,15,0),0)</f>
        <v>9048220000</v>
      </c>
      <c r="N31" s="41"/>
      <c r="O31" s="41">
        <f>IFERROR(VLOOKUP(A31,'درآمد ناشی از تغییر قیمت اوراق'!A:Q,17,0),0)</f>
        <v>-7641221389</v>
      </c>
      <c r="P31" s="41"/>
      <c r="Q31" s="41">
        <f>IFERROR(VLOOKUP(A31,'درآمد ناشی از فروش'!A:Q,17,0),0)</f>
        <v>-48989162</v>
      </c>
      <c r="R31" s="41"/>
      <c r="S31" s="41">
        <f t="shared" si="2"/>
        <v>1358009449</v>
      </c>
      <c r="T31" s="41"/>
      <c r="U31" s="86">
        <f>S31/درآمد!$F$12*100</f>
        <v>0.18041468803507524</v>
      </c>
    </row>
    <row r="32" spans="1:21" ht="18.75">
      <c r="A32" s="12" t="s">
        <v>147</v>
      </c>
      <c r="C32" s="41">
        <f>IFERROR(VLOOKUP(A32,'درآمد سود سهام'!A:S,9,0),0)</f>
        <v>0</v>
      </c>
      <c r="D32" s="41"/>
      <c r="E32" s="41">
        <f>IFERROR(VLOOKUP(A32,'درآمد ناشی از تغییر قیمت اوراق'!A:Q,9,0),0)</f>
        <v>0</v>
      </c>
      <c r="F32" s="41"/>
      <c r="G32" s="41">
        <f>IFERROR(VLOOKUP(A32,'درآمد ناشی از فروش'!A:Q,9,0),0)</f>
        <v>0</v>
      </c>
      <c r="H32" s="41"/>
      <c r="I32" s="41">
        <f t="shared" si="0"/>
        <v>0</v>
      </c>
      <c r="J32" s="41"/>
      <c r="K32" s="86">
        <f t="shared" si="1"/>
        <v>0</v>
      </c>
      <c r="L32" s="41"/>
      <c r="M32" s="41">
        <f>IFERROR(VLOOKUP(A32,'درآمد سود سهام'!A:S,15,0),0)</f>
        <v>0</v>
      </c>
      <c r="N32" s="41"/>
      <c r="O32" s="41">
        <f>IFERROR(VLOOKUP(A32,'درآمد ناشی از تغییر قیمت اوراق'!A:Q,17,0),0)</f>
        <v>0</v>
      </c>
      <c r="P32" s="41"/>
      <c r="Q32" s="41">
        <f>IFERROR(VLOOKUP(A32,'درآمد ناشی از فروش'!A:Q,17,0),0)</f>
        <v>-1745789329</v>
      </c>
      <c r="R32" s="41"/>
      <c r="S32" s="41">
        <f t="shared" si="2"/>
        <v>-1745789329</v>
      </c>
      <c r="T32" s="41"/>
      <c r="U32" s="86">
        <f>S32/درآمد!$F$12*100</f>
        <v>-0.23193213964632609</v>
      </c>
    </row>
    <row r="33" spans="1:21" ht="18.75">
      <c r="A33" s="12" t="s">
        <v>160</v>
      </c>
      <c r="C33" s="41">
        <f>IFERROR(VLOOKUP(A33,'درآمد سود سهام'!A:S,9,0),0)</f>
        <v>0</v>
      </c>
      <c r="D33" s="41"/>
      <c r="E33" s="41">
        <f>IFERROR(VLOOKUP(A33,'درآمد ناشی از تغییر قیمت اوراق'!A:Q,9,0),0)</f>
        <v>0</v>
      </c>
      <c r="F33" s="41"/>
      <c r="G33" s="41">
        <f>IFERROR(VLOOKUP(A33,'درآمد ناشی از فروش'!A:Q,9,0),0)</f>
        <v>0</v>
      </c>
      <c r="H33" s="41"/>
      <c r="I33" s="41">
        <f t="shared" si="0"/>
        <v>0</v>
      </c>
      <c r="J33" s="41"/>
      <c r="K33" s="86">
        <f t="shared" si="1"/>
        <v>0</v>
      </c>
      <c r="L33" s="41"/>
      <c r="M33" s="41">
        <f>IFERROR(VLOOKUP(A33,'درآمد سود سهام'!A:S,15,0),0)</f>
        <v>0</v>
      </c>
      <c r="N33" s="41"/>
      <c r="O33" s="41">
        <f>IFERROR(VLOOKUP(A33,'درآمد ناشی از تغییر قیمت اوراق'!A:Q,17,0),0)</f>
        <v>0</v>
      </c>
      <c r="P33" s="41"/>
      <c r="Q33" s="41">
        <f>IFERROR(VLOOKUP(A33,'درآمد ناشی از فروش'!A:Q,17,0),0)</f>
        <v>161484551</v>
      </c>
      <c r="R33" s="41"/>
      <c r="S33" s="41">
        <f t="shared" si="2"/>
        <v>161484551</v>
      </c>
      <c r="T33" s="41"/>
      <c r="U33" s="86">
        <f>S33/درآمد!$F$12*100</f>
        <v>2.1453595122333493E-2</v>
      </c>
    </row>
    <row r="34" spans="1:21" ht="18.75">
      <c r="A34" s="12" t="s">
        <v>15</v>
      </c>
      <c r="C34" s="41">
        <f>IFERROR(VLOOKUP(A34,'درآمد سود سهام'!A:S,9,0),0)</f>
        <v>10512829250</v>
      </c>
      <c r="D34" s="41"/>
      <c r="E34" s="41">
        <f>IFERROR(VLOOKUP(A34,'درآمد ناشی از تغییر قیمت اوراق'!A:Q,9,0),0)</f>
        <v>18733465185</v>
      </c>
      <c r="F34" s="41"/>
      <c r="G34" s="41">
        <f>IFERROR(VLOOKUP(A34,'درآمد ناشی از فروش'!A:Q,9,0),0)</f>
        <v>0</v>
      </c>
      <c r="H34" s="41"/>
      <c r="I34" s="41">
        <f t="shared" si="0"/>
        <v>29246294435</v>
      </c>
      <c r="J34" s="41"/>
      <c r="K34" s="86">
        <f t="shared" si="1"/>
        <v>5.9581457907477571</v>
      </c>
      <c r="L34" s="41"/>
      <c r="M34" s="41">
        <f>IFERROR(VLOOKUP(A34,'درآمد سود سهام'!A:S,15,0),0)</f>
        <v>10512829250</v>
      </c>
      <c r="N34" s="41"/>
      <c r="O34" s="41">
        <f>IFERROR(VLOOKUP(A34,'درآمد ناشی از تغییر قیمت اوراق'!A:Q,17,0),0)</f>
        <v>25534303727</v>
      </c>
      <c r="P34" s="41"/>
      <c r="Q34" s="41">
        <f>IFERROR(VLOOKUP(A34,'درآمد ناشی از فروش'!A:Q,17,0),0)</f>
        <v>17995222396</v>
      </c>
      <c r="R34" s="41"/>
      <c r="S34" s="41">
        <f t="shared" si="2"/>
        <v>54042355373</v>
      </c>
      <c r="T34" s="41"/>
      <c r="U34" s="86">
        <f>S34/درآمد!$F$12*100</f>
        <v>7.1796515793613347</v>
      </c>
    </row>
    <row r="35" spans="1:21" ht="18.75">
      <c r="A35" s="12" t="s">
        <v>163</v>
      </c>
      <c r="C35" s="41">
        <f>IFERROR(VLOOKUP(A35,'درآمد سود سهام'!A:S,9,0),0)</f>
        <v>0</v>
      </c>
      <c r="D35" s="41"/>
      <c r="E35" s="41">
        <f>IFERROR(VLOOKUP(A35,'درآمد ناشی از تغییر قیمت اوراق'!A:Q,9,0),0)</f>
        <v>0</v>
      </c>
      <c r="F35" s="41"/>
      <c r="G35" s="41">
        <f>IFERROR(VLOOKUP(A35,'درآمد ناشی از فروش'!A:Q,9,0),0)</f>
        <v>0</v>
      </c>
      <c r="H35" s="41"/>
      <c r="I35" s="41">
        <f t="shared" si="0"/>
        <v>0</v>
      </c>
      <c r="J35" s="41"/>
      <c r="K35" s="86">
        <f t="shared" si="1"/>
        <v>0</v>
      </c>
      <c r="L35" s="41"/>
      <c r="M35" s="41">
        <f>IFERROR(VLOOKUP(A35,'درآمد سود سهام'!A:S,15,0),0)</f>
        <v>0</v>
      </c>
      <c r="N35" s="41"/>
      <c r="O35" s="41">
        <f>IFERROR(VLOOKUP(A35,'درآمد ناشی از تغییر قیمت اوراق'!A:Q,17,0),0)</f>
        <v>0</v>
      </c>
      <c r="P35" s="41"/>
      <c r="Q35" s="41">
        <f>IFERROR(VLOOKUP(A35,'درآمد ناشی از فروش'!A:Q,17,0),0)</f>
        <v>134690948</v>
      </c>
      <c r="R35" s="41"/>
      <c r="S35" s="41">
        <f t="shared" si="2"/>
        <v>134690948</v>
      </c>
      <c r="T35" s="41"/>
      <c r="U35" s="86">
        <f>S35/درآمد!$F$12*100</f>
        <v>1.7894003154736916E-2</v>
      </c>
    </row>
    <row r="36" spans="1:21" ht="18.75">
      <c r="A36" s="12" t="s">
        <v>25</v>
      </c>
      <c r="C36" s="41">
        <f>IFERROR(VLOOKUP(A36,'درآمد سود سهام'!A:S,9,0),0)</f>
        <v>0</v>
      </c>
      <c r="D36" s="41"/>
      <c r="E36" s="41">
        <f>IFERROR(VLOOKUP(A36,'درآمد ناشی از تغییر قیمت اوراق'!A:Q,9,0),0)</f>
        <v>49830151382</v>
      </c>
      <c r="F36" s="41"/>
      <c r="G36" s="41">
        <f>IFERROR(VLOOKUP(A36,'درآمد ناشی از فروش'!A:Q,9,0),0)</f>
        <v>0</v>
      </c>
      <c r="H36" s="41"/>
      <c r="I36" s="41">
        <f t="shared" si="0"/>
        <v>49830151382</v>
      </c>
      <c r="J36" s="41"/>
      <c r="K36" s="86">
        <f t="shared" si="1"/>
        <v>10.151552955497927</v>
      </c>
      <c r="L36" s="41"/>
      <c r="M36" s="41">
        <f>IFERROR(VLOOKUP(A36,'درآمد سود سهام'!A:S,15,0),0)</f>
        <v>0</v>
      </c>
      <c r="N36" s="41"/>
      <c r="O36" s="41">
        <f>IFERROR(VLOOKUP(A36,'درآمد ناشی از تغییر قیمت اوراق'!A:Q,17,0),0)</f>
        <v>46704692515</v>
      </c>
      <c r="P36" s="41"/>
      <c r="Q36" s="41">
        <f>IFERROR(VLOOKUP(A36,'درآمد ناشی از فروش'!A:Q,17,0),0)</f>
        <v>33364840753</v>
      </c>
      <c r="R36" s="41"/>
      <c r="S36" s="41">
        <f t="shared" si="2"/>
        <v>80069533268</v>
      </c>
      <c r="T36" s="41"/>
      <c r="U36" s="86">
        <f>S36/درآمد!$F$12*100</f>
        <v>10.637422203724517</v>
      </c>
    </row>
    <row r="37" spans="1:21" ht="18.75">
      <c r="A37" s="12" t="s">
        <v>12</v>
      </c>
      <c r="C37" s="41">
        <f>IFERROR(VLOOKUP(A37,'درآمد سود سهام'!A:S,9,0),0)</f>
        <v>0</v>
      </c>
      <c r="D37" s="41"/>
      <c r="E37" s="41">
        <f>IFERROR(VLOOKUP(A37,'درآمد ناشی از تغییر قیمت اوراق'!A:Q,9,0),0)</f>
        <v>321350351</v>
      </c>
      <c r="F37" s="41"/>
      <c r="G37" s="41">
        <f>IFERROR(VLOOKUP(A37,'درآمد ناشی از فروش'!A:Q,9,0),0)</f>
        <v>0</v>
      </c>
      <c r="H37" s="41"/>
      <c r="I37" s="41">
        <f t="shared" si="0"/>
        <v>321350351</v>
      </c>
      <c r="J37" s="41"/>
      <c r="K37" s="86">
        <f t="shared" si="1"/>
        <v>6.5466489965806979E-2</v>
      </c>
      <c r="L37" s="41"/>
      <c r="M37" s="41">
        <f>IFERROR(VLOOKUP(A37,'درآمد سود سهام'!A:S,15,0),0)</f>
        <v>0</v>
      </c>
      <c r="N37" s="41"/>
      <c r="O37" s="41">
        <f>IFERROR(VLOOKUP(A37,'درآمد ناشی از تغییر قیمت اوراق'!A:Q,17,0),0)</f>
        <v>-40843629576</v>
      </c>
      <c r="P37" s="41"/>
      <c r="Q37" s="41">
        <f>IFERROR(VLOOKUP(A37,'درآمد ناشی از فروش'!A:Q,17,0),0)</f>
        <v>2540517286</v>
      </c>
      <c r="R37" s="41"/>
      <c r="S37" s="41">
        <f t="shared" si="2"/>
        <v>-38303112290</v>
      </c>
      <c r="T37" s="41"/>
      <c r="U37" s="86">
        <f>S37/درآمد!$F$12*100</f>
        <v>-5.088656827580591</v>
      </c>
    </row>
    <row r="38" spans="1:21" ht="18.75">
      <c r="A38" s="12" t="s">
        <v>135</v>
      </c>
      <c r="C38" s="41">
        <f>IFERROR(VLOOKUP(A38,'درآمد سود سهام'!A:S,9,0),0)</f>
        <v>0</v>
      </c>
      <c r="D38" s="41"/>
      <c r="E38" s="41">
        <f>IFERROR(VLOOKUP(A38,'درآمد ناشی از تغییر قیمت اوراق'!A:Q,9,0),0)</f>
        <v>1510323500</v>
      </c>
      <c r="F38" s="41"/>
      <c r="G38" s="41">
        <f>IFERROR(VLOOKUP(A38,'درآمد ناشی از فروش'!A:Q,9,0),0)</f>
        <v>0</v>
      </c>
      <c r="H38" s="41"/>
      <c r="I38" s="41">
        <f t="shared" si="0"/>
        <v>1510323500</v>
      </c>
      <c r="J38" s="41"/>
      <c r="K38" s="86">
        <f t="shared" si="1"/>
        <v>0.30768778671062508</v>
      </c>
      <c r="L38" s="41"/>
      <c r="M38" s="41">
        <f>IFERROR(VLOOKUP(A38,'درآمد سود سهام'!A:S,15,0),0)</f>
        <v>0</v>
      </c>
      <c r="N38" s="41"/>
      <c r="O38" s="41">
        <f>IFERROR(VLOOKUP(A38,'درآمد ناشی از تغییر قیمت اوراق'!A:Q,17,0),0)</f>
        <v>1705042907</v>
      </c>
      <c r="P38" s="41"/>
      <c r="Q38" s="41">
        <f>IFERROR(VLOOKUP(A38,'درآمد ناشی از فروش'!A:Q,17,0),0)</f>
        <v>481168624</v>
      </c>
      <c r="R38" s="41"/>
      <c r="S38" s="41">
        <f t="shared" si="2"/>
        <v>2186211531</v>
      </c>
      <c r="T38" s="41"/>
      <c r="U38" s="86">
        <f>S38/درآمد!$F$12*100</f>
        <v>0.29044324517365649</v>
      </c>
    </row>
    <row r="39" spans="1:21" ht="18.75">
      <c r="A39" s="12" t="s">
        <v>19</v>
      </c>
      <c r="C39" s="41">
        <f>IFERROR(VLOOKUP(A39,'درآمد سود سهام'!A:S,9,0),0)</f>
        <v>0</v>
      </c>
      <c r="D39" s="41"/>
      <c r="E39" s="41">
        <f>IFERROR(VLOOKUP(A39,'درآمد ناشی از تغییر قیمت اوراق'!A:Q,9,0),0)</f>
        <v>20785260819</v>
      </c>
      <c r="F39" s="41"/>
      <c r="G39" s="41">
        <f>IFERROR(VLOOKUP(A39,'درآمد ناشی از فروش'!A:Q,9,0),0)</f>
        <v>0</v>
      </c>
      <c r="H39" s="41"/>
      <c r="I39" s="41">
        <f t="shared" si="0"/>
        <v>20785260819</v>
      </c>
      <c r="J39" s="41"/>
      <c r="K39" s="86">
        <f t="shared" si="1"/>
        <v>4.2344377860777396</v>
      </c>
      <c r="L39" s="41"/>
      <c r="M39" s="41">
        <f>IFERROR(VLOOKUP(A39,'درآمد سود سهام'!A:S,15,0),0)</f>
        <v>9686558400</v>
      </c>
      <c r="N39" s="41"/>
      <c r="O39" s="41">
        <f>IFERROR(VLOOKUP(A39,'درآمد ناشی از تغییر قیمت اوراق'!A:Q,17,0),0)</f>
        <v>10092265368</v>
      </c>
      <c r="P39" s="41"/>
      <c r="Q39" s="41">
        <f>IFERROR(VLOOKUP(A39,'درآمد ناشی از فروش'!A:Q,17,0),0)</f>
        <v>-10040</v>
      </c>
      <c r="R39" s="41"/>
      <c r="S39" s="41">
        <f t="shared" si="2"/>
        <v>19778813728</v>
      </c>
      <c r="T39" s="41"/>
      <c r="U39" s="86">
        <f>S39/درآمد!$F$12*100</f>
        <v>2.6276610306862329</v>
      </c>
    </row>
    <row r="40" spans="1:21" ht="18.75">
      <c r="A40" s="12" t="s">
        <v>78</v>
      </c>
      <c r="C40" s="41">
        <f>IFERROR(VLOOKUP(A40,'درآمد سود سهام'!A:S,9,0),0)</f>
        <v>0</v>
      </c>
      <c r="D40" s="41"/>
      <c r="E40" s="41">
        <f>IFERROR(VLOOKUP(A40,'درآمد ناشی از تغییر قیمت اوراق'!A:Q,9,0),0)</f>
        <v>0</v>
      </c>
      <c r="F40" s="41"/>
      <c r="G40" s="41">
        <f>IFERROR(VLOOKUP(A40,'درآمد ناشی از فروش'!A:Q,9,0),0)</f>
        <v>0</v>
      </c>
      <c r="H40" s="41"/>
      <c r="I40" s="41">
        <f t="shared" si="0"/>
        <v>0</v>
      </c>
      <c r="J40" s="41"/>
      <c r="K40" s="86">
        <f t="shared" si="1"/>
        <v>0</v>
      </c>
      <c r="L40" s="41"/>
      <c r="M40" s="41">
        <f>IFERROR(VLOOKUP(A40,'درآمد سود سهام'!A:S,15,0),0)</f>
        <v>0</v>
      </c>
      <c r="N40" s="41"/>
      <c r="O40" s="41">
        <f>IFERROR(VLOOKUP(A40,'درآمد ناشی از تغییر قیمت اوراق'!A:Q,17,0),0)</f>
        <v>0</v>
      </c>
      <c r="P40" s="41"/>
      <c r="Q40" s="41">
        <f>IFERROR(VLOOKUP(A40,'درآمد ناشی از فروش'!A:Q,17,0),0)</f>
        <v>-12936372280</v>
      </c>
      <c r="R40" s="41"/>
      <c r="S40" s="41">
        <f t="shared" si="2"/>
        <v>-12936372280</v>
      </c>
      <c r="T40" s="41"/>
      <c r="U40" s="86">
        <f>S40/درآمد!$F$12*100</f>
        <v>-1.7186268997763026</v>
      </c>
    </row>
    <row r="41" spans="1:21" ht="18.75">
      <c r="A41" s="12" t="s">
        <v>149</v>
      </c>
      <c r="C41" s="41">
        <f>IFERROR(VLOOKUP(A41,'درآمد سود سهام'!A:S,9,0),0)</f>
        <v>0</v>
      </c>
      <c r="D41" s="41"/>
      <c r="E41" s="41">
        <f>IFERROR(VLOOKUP(A41,'درآمد ناشی از تغییر قیمت اوراق'!A:Q,9,0),0)</f>
        <v>0</v>
      </c>
      <c r="F41" s="41"/>
      <c r="G41" s="41">
        <f>IFERROR(VLOOKUP(A41,'درآمد ناشی از فروش'!A:Q,9,0),0)</f>
        <v>0</v>
      </c>
      <c r="H41" s="41"/>
      <c r="I41" s="41">
        <f t="shared" si="0"/>
        <v>0</v>
      </c>
      <c r="J41" s="41"/>
      <c r="K41" s="86">
        <f t="shared" si="1"/>
        <v>0</v>
      </c>
      <c r="L41" s="41"/>
      <c r="M41" s="41">
        <f>IFERROR(VLOOKUP(A41,'درآمد سود سهام'!A:S,15,0),0)</f>
        <v>0</v>
      </c>
      <c r="N41" s="41"/>
      <c r="O41" s="41">
        <f>IFERROR(VLOOKUP(A41,'درآمد ناشی از تغییر قیمت اوراق'!A:Q,17,0),0)</f>
        <v>0</v>
      </c>
      <c r="P41" s="41"/>
      <c r="Q41" s="41">
        <f>IFERROR(VLOOKUP(A41,'درآمد ناشی از فروش'!A:Q,17,0),0)</f>
        <v>2278575975</v>
      </c>
      <c r="R41" s="41"/>
      <c r="S41" s="41">
        <f t="shared" si="2"/>
        <v>2278575975</v>
      </c>
      <c r="T41" s="41"/>
      <c r="U41" s="86">
        <f>S41/درآمد!$F$12*100</f>
        <v>0.30271407463074462</v>
      </c>
    </row>
    <row r="42" spans="1:21" ht="18.75">
      <c r="A42" s="12" t="s">
        <v>168</v>
      </c>
      <c r="C42" s="41">
        <f>IFERROR(VLOOKUP(A42,'درآمد سود سهام'!A:S,9,0),0)</f>
        <v>0</v>
      </c>
      <c r="D42" s="41"/>
      <c r="E42" s="41">
        <f>IFERROR(VLOOKUP(A42,'درآمد ناشی از تغییر قیمت اوراق'!A:Q,9,0),0)</f>
        <v>49980640</v>
      </c>
      <c r="F42" s="41"/>
      <c r="G42" s="41">
        <f>IFERROR(VLOOKUP(A42,'درآمد ناشی از فروش'!A:Q,9,0),0)</f>
        <v>0</v>
      </c>
      <c r="H42" s="41"/>
      <c r="I42" s="41">
        <f t="shared" si="0"/>
        <v>49980640</v>
      </c>
      <c r="J42" s="41"/>
      <c r="K42" s="86">
        <f t="shared" si="1"/>
        <v>1.0182210963399916E-2</v>
      </c>
      <c r="L42" s="41"/>
      <c r="M42" s="41">
        <f>IFERROR(VLOOKUP(A42,'درآمد سود سهام'!A:S,15,0),0)</f>
        <v>257763000</v>
      </c>
      <c r="N42" s="41"/>
      <c r="O42" s="41">
        <f>IFERROR(VLOOKUP(A42,'درآمد ناشی از تغییر قیمت اوراق'!A:Q,17,0),0)</f>
        <v>662095579</v>
      </c>
      <c r="P42" s="41"/>
      <c r="Q42" s="41">
        <f>IFERROR(VLOOKUP(A42,'درآمد ناشی از فروش'!A:Q,17,0),0)</f>
        <v>1536334080</v>
      </c>
      <c r="R42" s="41"/>
      <c r="S42" s="41">
        <f t="shared" si="2"/>
        <v>2456192659</v>
      </c>
      <c r="T42" s="41"/>
      <c r="U42" s="86">
        <f>S42/درآمد!$F$12*100</f>
        <v>0.32631086083667371</v>
      </c>
    </row>
    <row r="43" spans="1:21" ht="18.75">
      <c r="A43" s="12" t="s">
        <v>28</v>
      </c>
      <c r="C43" s="41">
        <f>IFERROR(VLOOKUP(A43,'درآمد سود سهام'!A:S,9,0),0)</f>
        <v>0</v>
      </c>
      <c r="D43" s="41"/>
      <c r="E43" s="41">
        <f>IFERROR(VLOOKUP(A43,'درآمد ناشی از تغییر قیمت اوراق'!A:Q,9,0),0)</f>
        <v>65285509622</v>
      </c>
      <c r="F43" s="41"/>
      <c r="G43" s="41">
        <f>IFERROR(VLOOKUP(A43,'درآمد ناشی از فروش'!A:Q,9,0),0)</f>
        <v>0</v>
      </c>
      <c r="H43" s="41"/>
      <c r="I43" s="41">
        <f t="shared" si="0"/>
        <v>65285509622</v>
      </c>
      <c r="J43" s="41"/>
      <c r="K43" s="86">
        <f t="shared" si="1"/>
        <v>13.300166460939259</v>
      </c>
      <c r="L43" s="41"/>
      <c r="M43" s="41">
        <f>IFERROR(VLOOKUP(A43,'درآمد سود سهام'!A:S,15,0),0)</f>
        <v>0</v>
      </c>
      <c r="N43" s="41"/>
      <c r="O43" s="41">
        <f>IFERROR(VLOOKUP(A43,'درآمد ناشی از تغییر قیمت اوراق'!A:Q,17,0),0)</f>
        <v>26728265503</v>
      </c>
      <c r="P43" s="41"/>
      <c r="Q43" s="41">
        <f>IFERROR(VLOOKUP(A43,'درآمد ناشی از فروش'!A:Q,17,0),0)</f>
        <v>2359029834</v>
      </c>
      <c r="R43" s="41"/>
      <c r="S43" s="41">
        <f t="shared" si="2"/>
        <v>29087295337</v>
      </c>
      <c r="T43" s="41"/>
      <c r="U43" s="86">
        <f>S43/درآمد!$F$12*100</f>
        <v>3.864314285790329</v>
      </c>
    </row>
    <row r="44" spans="1:21" ht="18.75">
      <c r="A44" s="12" t="s">
        <v>146</v>
      </c>
      <c r="C44" s="41">
        <f>IFERROR(VLOOKUP(A44,'درآمد سود سهام'!A:S,9,0),0)</f>
        <v>0</v>
      </c>
      <c r="D44" s="41"/>
      <c r="E44" s="41">
        <f>IFERROR(VLOOKUP(A44,'درآمد ناشی از تغییر قیمت اوراق'!A:Q,9,0),0)</f>
        <v>0</v>
      </c>
      <c r="F44" s="41"/>
      <c r="G44" s="41">
        <f>IFERROR(VLOOKUP(A44,'درآمد ناشی از فروش'!A:Q,9,0),0)</f>
        <v>0</v>
      </c>
      <c r="H44" s="41"/>
      <c r="I44" s="41">
        <f t="shared" si="0"/>
        <v>0</v>
      </c>
      <c r="J44" s="41"/>
      <c r="K44" s="86">
        <f t="shared" si="1"/>
        <v>0</v>
      </c>
      <c r="L44" s="41"/>
      <c r="M44" s="41">
        <f>IFERROR(VLOOKUP(A44,'درآمد سود سهام'!A:S,15,0),0)</f>
        <v>0</v>
      </c>
      <c r="N44" s="41"/>
      <c r="O44" s="41">
        <f>IFERROR(VLOOKUP(A44,'درآمد ناشی از تغییر قیمت اوراق'!A:Q,17,0),0)</f>
        <v>0</v>
      </c>
      <c r="P44" s="41"/>
      <c r="Q44" s="41">
        <f>IFERROR(VLOOKUP(A44,'درآمد ناشی از فروش'!A:Q,17,0),0)</f>
        <v>4760948400</v>
      </c>
      <c r="R44" s="41"/>
      <c r="S44" s="41">
        <f t="shared" si="2"/>
        <v>4760948400</v>
      </c>
      <c r="T44" s="41"/>
      <c r="U44" s="86">
        <f>S44/درآمد!$F$12*100</f>
        <v>0.63250297777352993</v>
      </c>
    </row>
    <row r="45" spans="1:21" ht="18.75">
      <c r="A45" s="12" t="s">
        <v>165</v>
      </c>
      <c r="C45" s="41">
        <f>IFERROR(VLOOKUP(A45,'درآمد سود سهام'!A:S,9,0),0)</f>
        <v>0</v>
      </c>
      <c r="D45" s="41"/>
      <c r="E45" s="41">
        <f>IFERROR(VLOOKUP(A45,'درآمد ناشی از تغییر قیمت اوراق'!A:Q,9,0),0)</f>
        <v>0</v>
      </c>
      <c r="F45" s="41"/>
      <c r="G45" s="41">
        <f>IFERROR(VLOOKUP(A45,'درآمد ناشی از فروش'!A:Q,9,0),0)</f>
        <v>0</v>
      </c>
      <c r="H45" s="41"/>
      <c r="I45" s="41">
        <f t="shared" si="0"/>
        <v>0</v>
      </c>
      <c r="J45" s="41"/>
      <c r="K45" s="86">
        <f t="shared" si="1"/>
        <v>0</v>
      </c>
      <c r="L45" s="41"/>
      <c r="M45" s="41">
        <f>IFERROR(VLOOKUP(A45,'درآمد سود سهام'!A:S,15,0),0)</f>
        <v>0</v>
      </c>
      <c r="N45" s="41"/>
      <c r="O45" s="41">
        <f>IFERROR(VLOOKUP(A45,'درآمد ناشی از تغییر قیمت اوراق'!A:Q,17,0),0)</f>
        <v>0</v>
      </c>
      <c r="P45" s="41"/>
      <c r="Q45" s="41">
        <f>IFERROR(VLOOKUP(A45,'درآمد ناشی از فروش'!A:Q,17,0),0)</f>
        <v>228851159</v>
      </c>
      <c r="R45" s="41"/>
      <c r="S45" s="41">
        <f t="shared" si="2"/>
        <v>228851159</v>
      </c>
      <c r="T45" s="41"/>
      <c r="U45" s="86">
        <f>S45/درآمد!$F$12*100</f>
        <v>3.0403404400355098E-2</v>
      </c>
    </row>
    <row r="46" spans="1:21" ht="18.75">
      <c r="A46" s="12" t="s">
        <v>13</v>
      </c>
      <c r="C46" s="41">
        <f>IFERROR(VLOOKUP(A46,'درآمد سود سهام'!A:S,9,0),0)</f>
        <v>0</v>
      </c>
      <c r="D46" s="41"/>
      <c r="E46" s="41">
        <f>IFERROR(VLOOKUP(A46,'درآمد ناشی از تغییر قیمت اوراق'!A:Q,9,0),0)</f>
        <v>-3769196874</v>
      </c>
      <c r="F46" s="41"/>
      <c r="G46" s="41">
        <f>IFERROR(VLOOKUP(A46,'درآمد ناشی از فروش'!A:Q,9,0),0)</f>
        <v>0</v>
      </c>
      <c r="H46" s="41"/>
      <c r="I46" s="41">
        <f t="shared" si="0"/>
        <v>-3769196874</v>
      </c>
      <c r="J46" s="41"/>
      <c r="K46" s="86">
        <f t="shared" si="1"/>
        <v>-0.76787247489538935</v>
      </c>
      <c r="L46" s="41"/>
      <c r="M46" s="41">
        <f>IFERROR(VLOOKUP(A46,'درآمد سود سهام'!A:S,15,0),0)</f>
        <v>4445123100</v>
      </c>
      <c r="N46" s="41"/>
      <c r="O46" s="41">
        <f>IFERROR(VLOOKUP(A46,'درآمد ناشی از تغییر قیمت اوراق'!A:Q,17,0),0)</f>
        <v>602997010</v>
      </c>
      <c r="P46" s="41"/>
      <c r="Q46" s="41">
        <f>IFERROR(VLOOKUP(A46,'درآمد ناشی از فروش'!A:Q,17,0),0)</f>
        <v>2209063877</v>
      </c>
      <c r="R46" s="41"/>
      <c r="S46" s="41">
        <f t="shared" si="2"/>
        <v>7257183987</v>
      </c>
      <c r="T46" s="41"/>
      <c r="U46" s="86">
        <f>S46/درآمد!$F$12*100</f>
        <v>0.96413363396836604</v>
      </c>
    </row>
    <row r="47" spans="1:21" ht="18.75">
      <c r="A47" s="12" t="s">
        <v>11</v>
      </c>
      <c r="C47" s="41">
        <f>IFERROR(VLOOKUP(A47,'درآمد سود سهام'!A:S,9,0),0)</f>
        <v>0</v>
      </c>
      <c r="D47" s="41"/>
      <c r="E47" s="41">
        <f>IFERROR(VLOOKUP(A47,'درآمد ناشی از تغییر قیمت اوراق'!A:Q,9,0),0)</f>
        <v>7986500810</v>
      </c>
      <c r="F47" s="41"/>
      <c r="G47" s="41">
        <f>IFERROR(VLOOKUP(A47,'درآمد ناشی از فروش'!A:Q,9,0),0)</f>
        <v>0</v>
      </c>
      <c r="H47" s="41"/>
      <c r="I47" s="41">
        <f t="shared" si="0"/>
        <v>7986500810</v>
      </c>
      <c r="J47" s="41"/>
      <c r="K47" s="86">
        <f t="shared" si="1"/>
        <v>1.6270347099753886</v>
      </c>
      <c r="L47" s="41"/>
      <c r="M47" s="41">
        <f>IFERROR(VLOOKUP(A47,'درآمد سود سهام'!A:S,15,0),0)</f>
        <v>8122558840</v>
      </c>
      <c r="N47" s="41"/>
      <c r="O47" s="41">
        <f>IFERROR(VLOOKUP(A47,'درآمد ناشی از تغییر قیمت اوراق'!A:Q,17,0),0)</f>
        <v>-1277648416</v>
      </c>
      <c r="P47" s="41"/>
      <c r="Q47" s="41">
        <f>IFERROR(VLOOKUP(A47,'درآمد ناشی از فروش'!A:Q,17,0),0)</f>
        <v>5619503203</v>
      </c>
      <c r="R47" s="41"/>
      <c r="S47" s="41">
        <f t="shared" si="2"/>
        <v>12464413627</v>
      </c>
      <c r="T47" s="41"/>
      <c r="U47" s="86">
        <f>S47/درآمد!$F$12*100</f>
        <v>1.6559261039834972</v>
      </c>
    </row>
    <row r="48" spans="1:21" ht="18.75">
      <c r="A48" s="12" t="s">
        <v>158</v>
      </c>
      <c r="C48" s="41">
        <f>IFERROR(VLOOKUP(A48,'درآمد سود سهام'!A:S,9,0),0)</f>
        <v>0</v>
      </c>
      <c r="D48" s="41"/>
      <c r="E48" s="41">
        <f>IFERROR(VLOOKUP(A48,'درآمد ناشی از تغییر قیمت اوراق'!A:Q,9,0),0)</f>
        <v>0</v>
      </c>
      <c r="F48" s="41"/>
      <c r="G48" s="41">
        <f>IFERROR(VLOOKUP(A48,'درآمد ناشی از فروش'!A:Q,9,0),0)</f>
        <v>0</v>
      </c>
      <c r="H48" s="41"/>
      <c r="I48" s="41">
        <f t="shared" si="0"/>
        <v>0</v>
      </c>
      <c r="J48" s="41"/>
      <c r="K48" s="86">
        <f t="shared" si="1"/>
        <v>0</v>
      </c>
      <c r="L48" s="41"/>
      <c r="M48" s="41">
        <f>IFERROR(VLOOKUP(A48,'درآمد سود سهام'!A:S,15,0),0)</f>
        <v>0</v>
      </c>
      <c r="N48" s="41"/>
      <c r="O48" s="41">
        <f>IFERROR(VLOOKUP(A48,'درآمد ناشی از تغییر قیمت اوراق'!A:Q,17,0),0)</f>
        <v>0</v>
      </c>
      <c r="P48" s="41"/>
      <c r="Q48" s="41">
        <f>IFERROR(VLOOKUP(A48,'درآمد ناشی از فروش'!A:Q,17,0),0)</f>
        <v>2125322518</v>
      </c>
      <c r="R48" s="41"/>
      <c r="S48" s="41">
        <f t="shared" si="2"/>
        <v>2125322518</v>
      </c>
      <c r="T48" s="41"/>
      <c r="U48" s="86">
        <f>S48/درآمد!$F$12*100</f>
        <v>0.28235399933427896</v>
      </c>
    </row>
    <row r="49" spans="1:21" ht="18.75">
      <c r="A49" s="12" t="s">
        <v>166</v>
      </c>
      <c r="C49" s="41">
        <f>IFERROR(VLOOKUP(A49,'درآمد سود سهام'!A:S,9,0),0)</f>
        <v>0</v>
      </c>
      <c r="D49" s="41"/>
      <c r="E49" s="41">
        <f>IFERROR(VLOOKUP(A49,'درآمد ناشی از تغییر قیمت اوراق'!A:Q,9,0),0)</f>
        <v>0</v>
      </c>
      <c r="F49" s="41"/>
      <c r="G49" s="41">
        <f>IFERROR(VLOOKUP(A49,'درآمد ناشی از فروش'!A:Q,9,0),0)</f>
        <v>0</v>
      </c>
      <c r="H49" s="41"/>
      <c r="I49" s="41">
        <f t="shared" si="0"/>
        <v>0</v>
      </c>
      <c r="J49" s="41"/>
      <c r="K49" s="86">
        <f t="shared" si="1"/>
        <v>0</v>
      </c>
      <c r="L49" s="41"/>
      <c r="M49" s="41">
        <f>IFERROR(VLOOKUP(A49,'درآمد سود سهام'!A:S,15,0),0)</f>
        <v>0</v>
      </c>
      <c r="N49" s="41"/>
      <c r="O49" s="41">
        <f>IFERROR(VLOOKUP(A49,'درآمد ناشی از تغییر قیمت اوراق'!A:Q,17,0),0)</f>
        <v>0</v>
      </c>
      <c r="P49" s="41"/>
      <c r="Q49" s="41">
        <f>IFERROR(VLOOKUP(A49,'درآمد ناشی از فروش'!A:Q,17,0),0)</f>
        <v>3621045645</v>
      </c>
      <c r="R49" s="41"/>
      <c r="S49" s="41">
        <f t="shared" si="2"/>
        <v>3621045645</v>
      </c>
      <c r="T49" s="41"/>
      <c r="U49" s="86">
        <f>S49/درآمد!$F$12*100</f>
        <v>0.48106426717760103</v>
      </c>
    </row>
    <row r="50" spans="1:21" ht="18.75">
      <c r="A50" s="12" t="s">
        <v>169</v>
      </c>
      <c r="C50" s="41">
        <f>IFERROR(VLOOKUP(A50,'درآمد سود سهام'!A:S,9,0),0)</f>
        <v>0</v>
      </c>
      <c r="D50" s="41"/>
      <c r="E50" s="41">
        <f>IFERROR(VLOOKUP(A50,'درآمد ناشی از تغییر قیمت اوراق'!A:Q,9,0),0)</f>
        <v>1190724000</v>
      </c>
      <c r="F50" s="41"/>
      <c r="G50" s="41">
        <f>IFERROR(VLOOKUP(A50,'درآمد ناشی از فروش'!A:Q,9,0),0)</f>
        <v>0</v>
      </c>
      <c r="H50" s="41"/>
      <c r="I50" s="41">
        <f t="shared" si="0"/>
        <v>1190724000</v>
      </c>
      <c r="J50" s="41"/>
      <c r="K50" s="86">
        <f t="shared" si="1"/>
        <v>0.242577985539669</v>
      </c>
      <c r="L50" s="41"/>
      <c r="M50" s="41">
        <f>IFERROR(VLOOKUP(A50,'درآمد سود سهام'!A:S,15,0),0)</f>
        <v>0</v>
      </c>
      <c r="N50" s="41"/>
      <c r="O50" s="41">
        <f>IFERROR(VLOOKUP(A50,'درآمد ناشی از تغییر قیمت اوراق'!A:Q,17,0),0)</f>
        <v>1750060080</v>
      </c>
      <c r="P50" s="41"/>
      <c r="Q50" s="41">
        <f>IFERROR(VLOOKUP(A50,'درآمد ناشی از فروش'!A:Q,17,0),0)</f>
        <v>0</v>
      </c>
      <c r="R50" s="41"/>
      <c r="S50" s="41">
        <f t="shared" si="2"/>
        <v>1750060080</v>
      </c>
      <c r="T50" s="41"/>
      <c r="U50" s="86">
        <f>S50/درآمد!$F$12*100</f>
        <v>0.23249951876869362</v>
      </c>
    </row>
    <row r="51" spans="1:21" ht="18.75">
      <c r="A51" s="12" t="s">
        <v>170</v>
      </c>
      <c r="C51" s="41">
        <f>IFERROR(VLOOKUP(A51,'درآمد سود سهام'!A:S,9,0),0)</f>
        <v>0</v>
      </c>
      <c r="D51" s="41"/>
      <c r="E51" s="41">
        <f>IFERROR(VLOOKUP(A51,'درآمد ناشی از تغییر قیمت اوراق'!A:Q,9,0),0)</f>
        <v>226237560</v>
      </c>
      <c r="F51" s="41"/>
      <c r="G51" s="41">
        <f>IFERROR(VLOOKUP(A51,'درآمد ناشی از فروش'!A:Q,9,0),0)</f>
        <v>0</v>
      </c>
      <c r="H51" s="41"/>
      <c r="I51" s="41">
        <f t="shared" si="0"/>
        <v>226237560</v>
      </c>
      <c r="J51" s="41"/>
      <c r="K51" s="86">
        <f t="shared" si="1"/>
        <v>4.6089817252537107E-2</v>
      </c>
      <c r="L51" s="41"/>
      <c r="M51" s="41">
        <f>IFERROR(VLOOKUP(A51,'درآمد سود سهام'!A:S,15,0),0)</f>
        <v>0</v>
      </c>
      <c r="N51" s="41"/>
      <c r="O51" s="41">
        <f>IFERROR(VLOOKUP(A51,'درآمد ناشی از تغییر قیمت اوراق'!A:Q,17,0),0)</f>
        <v>367521306</v>
      </c>
      <c r="P51" s="41"/>
      <c r="Q51" s="41">
        <f>IFERROR(VLOOKUP(A51,'درآمد ناشی از فروش'!A:Q,17,0),0)</f>
        <v>0</v>
      </c>
      <c r="R51" s="41"/>
      <c r="S51" s="41">
        <f t="shared" si="2"/>
        <v>367521306</v>
      </c>
      <c r="T51" s="41"/>
      <c r="U51" s="86">
        <f>S51/درآمد!$F$12*100</f>
        <v>4.8826053321690419E-2</v>
      </c>
    </row>
    <row r="52" spans="1:21" ht="18.75">
      <c r="A52" s="12" t="s">
        <v>171</v>
      </c>
      <c r="C52" s="41">
        <f>IFERROR(VLOOKUP(A52,'درآمد سود سهام'!A:S,9,0),0)</f>
        <v>0</v>
      </c>
      <c r="D52" s="41"/>
      <c r="E52" s="41">
        <f>IFERROR(VLOOKUP(A52,'درآمد ناشی از تغییر قیمت اوراق'!A:Q,9,0),0)</f>
        <v>762063360</v>
      </c>
      <c r="F52" s="41"/>
      <c r="G52" s="41">
        <f>IFERROR(VLOOKUP(A52,'درآمد ناشی از فروش'!A:Q,9,0),0)</f>
        <v>0</v>
      </c>
      <c r="H52" s="41"/>
      <c r="I52" s="41">
        <f t="shared" si="0"/>
        <v>762063360</v>
      </c>
      <c r="J52" s="41"/>
      <c r="K52" s="86">
        <f t="shared" si="1"/>
        <v>0.15524991074538816</v>
      </c>
      <c r="L52" s="41"/>
      <c r="M52" s="41">
        <f>IFERROR(VLOOKUP(A52,'درآمد سود سهام'!A:S,15,0),0)</f>
        <v>0</v>
      </c>
      <c r="N52" s="41"/>
      <c r="O52" s="41">
        <f>IFERROR(VLOOKUP(A52,'درآمد ناشی از تغییر قیمت اوراق'!A:Q,17,0),0)</f>
        <v>1488686862</v>
      </c>
      <c r="P52" s="41"/>
      <c r="Q52" s="41">
        <f>IFERROR(VLOOKUP(A52,'درآمد ناشی از فروش'!A:Q,17,0),0)</f>
        <v>0</v>
      </c>
      <c r="R52" s="41"/>
      <c r="S52" s="41">
        <f t="shared" si="2"/>
        <v>1488686862</v>
      </c>
      <c r="T52" s="41"/>
      <c r="U52" s="86">
        <f>S52/درآمد!$F$12*100</f>
        <v>0.19777548380640544</v>
      </c>
    </row>
    <row r="53" spans="1:21" ht="18.75">
      <c r="A53" s="12" t="s">
        <v>33</v>
      </c>
      <c r="C53" s="41">
        <f>IFERROR(VLOOKUP(A53,'درآمد سود سهام'!A:S,9,0),0)</f>
        <v>0</v>
      </c>
      <c r="D53" s="41"/>
      <c r="E53" s="41">
        <f>IFERROR(VLOOKUP(A53,'درآمد ناشی از تغییر قیمت اوراق'!A:Q,9,0),0)</f>
        <v>4783327990</v>
      </c>
      <c r="F53" s="41"/>
      <c r="G53" s="41">
        <f>IFERROR(VLOOKUP(A53,'درآمد ناشی از فروش'!A:Q,9,0),0)</f>
        <v>0</v>
      </c>
      <c r="H53" s="41"/>
      <c r="I53" s="41">
        <f t="shared" si="0"/>
        <v>4783327990</v>
      </c>
      <c r="J53" s="41"/>
      <c r="K53" s="86">
        <f t="shared" si="1"/>
        <v>0.97447441051806627</v>
      </c>
      <c r="L53" s="41"/>
      <c r="M53" s="41">
        <f>IFERROR(VLOOKUP(A53,'درآمد سود سهام'!A:S,15,0),0)</f>
        <v>0</v>
      </c>
      <c r="N53" s="41"/>
      <c r="O53" s="41">
        <f>IFERROR(VLOOKUP(A53,'درآمد ناشی از تغییر قیمت اوراق'!A:Q,17,0),0)</f>
        <v>11595946643</v>
      </c>
      <c r="P53" s="41"/>
      <c r="Q53" s="41">
        <f>IFERROR(VLOOKUP(A53,'درآمد ناشی از فروش'!A:Q,17,0),0)</f>
        <v>0</v>
      </c>
      <c r="R53" s="41"/>
      <c r="S53" s="41">
        <f t="shared" si="2"/>
        <v>11595946643</v>
      </c>
      <c r="T53" s="41"/>
      <c r="U53" s="86">
        <f>S53/درآمد!$F$12*100</f>
        <v>1.5405482617287907</v>
      </c>
    </row>
    <row r="54" spans="1:21" ht="18.75">
      <c r="A54" s="12" t="s">
        <v>213</v>
      </c>
      <c r="C54" s="41">
        <f>IFERROR(VLOOKUP(A54,'درآمد سود سهام'!A:S,9,0),0)</f>
        <v>0</v>
      </c>
      <c r="D54" s="41"/>
      <c r="E54" s="41">
        <f>IFERROR(VLOOKUP(A54,'درآمد ناشی از تغییر قیمت اوراق'!A:Q,9,0),0)</f>
        <v>2082075438</v>
      </c>
      <c r="F54" s="41"/>
      <c r="G54" s="41">
        <f>IFERROR(VLOOKUP(A54,'درآمد ناشی از فروش'!A:Q,9,0),0)</f>
        <v>0</v>
      </c>
      <c r="H54" s="41"/>
      <c r="I54" s="41">
        <f t="shared" si="0"/>
        <v>2082075438</v>
      </c>
      <c r="J54" s="41"/>
      <c r="K54" s="86">
        <f t="shared" si="1"/>
        <v>0.42416686443849627</v>
      </c>
      <c r="L54" s="41"/>
      <c r="M54" s="41">
        <f>IFERROR(VLOOKUP(A54,'درآمد سود سهام'!A:S,15,0),0)</f>
        <v>0</v>
      </c>
      <c r="N54" s="41"/>
      <c r="O54" s="41">
        <f>IFERROR(VLOOKUP(A54,'درآمد ناشی از تغییر قیمت اوراق'!A:Q,17,0),0)</f>
        <v>2082075438</v>
      </c>
      <c r="P54" s="41"/>
      <c r="Q54" s="41">
        <f>IFERROR(VLOOKUP(A54,'درآمد ناشی از فروش'!A:Q,17,0),0)</f>
        <v>0</v>
      </c>
      <c r="R54" s="41"/>
      <c r="S54" s="41">
        <f t="shared" si="2"/>
        <v>2082075438</v>
      </c>
      <c r="T54" s="41"/>
      <c r="U54" s="86">
        <f>S54/درآمد!$F$12*100</f>
        <v>0.27660852499139177</v>
      </c>
    </row>
    <row r="55" spans="1:21" ht="18.75">
      <c r="A55" s="12" t="s">
        <v>208</v>
      </c>
      <c r="C55" s="41">
        <f>IFERROR(VLOOKUP(A55,'درآمد سود سهام'!A:S,9,0),0)</f>
        <v>0</v>
      </c>
      <c r="D55" s="41"/>
      <c r="E55" s="41">
        <f>IFERROR(VLOOKUP(A55,'درآمد ناشی از تغییر قیمت اوراق'!A:Q,9,0),0)</f>
        <v>2453046324</v>
      </c>
      <c r="F55" s="41"/>
      <c r="G55" s="41">
        <f>IFERROR(VLOOKUP(A55,'درآمد ناشی از فروش'!A:Q,9,0),0)</f>
        <v>0</v>
      </c>
      <c r="H55" s="41"/>
      <c r="I55" s="41">
        <f t="shared" si="0"/>
        <v>2453046324</v>
      </c>
      <c r="J55" s="41"/>
      <c r="K55" s="86">
        <f t="shared" si="1"/>
        <v>0.49974220366047056</v>
      </c>
      <c r="L55" s="41"/>
      <c r="M55" s="41">
        <f>IFERROR(VLOOKUP(A55,'درآمد سود سهام'!A:S,15,0),0)</f>
        <v>0</v>
      </c>
      <c r="N55" s="41"/>
      <c r="O55" s="41">
        <f>IFERROR(VLOOKUP(A55,'درآمد ناشی از تغییر قیمت اوراق'!A:Q,17,0),0)</f>
        <v>2453046324</v>
      </c>
      <c r="P55" s="41"/>
      <c r="Q55" s="41">
        <f>IFERROR(VLOOKUP(A55,'درآمد ناشی از فروش'!A:Q,17,0),0)</f>
        <v>0</v>
      </c>
      <c r="R55" s="41"/>
      <c r="S55" s="41">
        <f t="shared" si="2"/>
        <v>2453046324</v>
      </c>
      <c r="T55" s="41"/>
      <c r="U55" s="86">
        <f>S55/درآمد!$F$12*100</f>
        <v>0.32589286297377451</v>
      </c>
    </row>
    <row r="56" spans="1:21" ht="18.75">
      <c r="A56" s="12" t="s">
        <v>159</v>
      </c>
      <c r="C56" s="41">
        <f>IFERROR(VLOOKUP(A56,'درآمد سود سهام'!A:S,9,0),0)</f>
        <v>0</v>
      </c>
      <c r="D56" s="41"/>
      <c r="E56" s="41">
        <f>IFERROR(VLOOKUP(A56,'درآمد ناشی از تغییر قیمت اوراق'!A:Q,9,0),0)</f>
        <v>4151948615</v>
      </c>
      <c r="F56" s="41"/>
      <c r="G56" s="41">
        <f>IFERROR(VLOOKUP(A56,'درآمد ناشی از فروش'!A:Q,9,0),0)</f>
        <v>0</v>
      </c>
      <c r="H56" s="41"/>
      <c r="I56" s="41">
        <f t="shared" si="0"/>
        <v>4151948615</v>
      </c>
      <c r="J56" s="41"/>
      <c r="K56" s="86">
        <f t="shared" si="1"/>
        <v>0.84584784642865918</v>
      </c>
      <c r="L56" s="41"/>
      <c r="M56" s="41">
        <f>IFERROR(VLOOKUP(A56,'درآمد سود سهام'!A:S,15,0),0)</f>
        <v>0</v>
      </c>
      <c r="N56" s="41"/>
      <c r="O56" s="41">
        <f>IFERROR(VLOOKUP(A56,'درآمد ناشی از تغییر قیمت اوراق'!A:Q,17,0),0)</f>
        <v>4461449357</v>
      </c>
      <c r="P56" s="41"/>
      <c r="Q56" s="41">
        <f>IFERROR(VLOOKUP(A56,'درآمد ناشی از فروش'!A:Q,17,0),0)</f>
        <v>0</v>
      </c>
      <c r="R56" s="41"/>
      <c r="S56" s="41">
        <f t="shared" si="2"/>
        <v>4461449357</v>
      </c>
      <c r="T56" s="41"/>
      <c r="U56" s="86">
        <f>S56/درآمد!$F$12*100</f>
        <v>0.59271383900911423</v>
      </c>
    </row>
    <row r="57" spans="1:21" ht="18.75">
      <c r="A57" s="12" t="s">
        <v>23</v>
      </c>
      <c r="C57" s="41">
        <f>IFERROR(VLOOKUP(A57,'درآمد سود سهام'!A:S,9,0),0)</f>
        <v>0</v>
      </c>
      <c r="D57" s="41"/>
      <c r="E57" s="41">
        <f>IFERROR(VLOOKUP(A57,'درآمد ناشی از تغییر قیمت اوراق'!A:Q,9,0),0)</f>
        <v>72449122624</v>
      </c>
      <c r="F57" s="41"/>
      <c r="G57" s="41">
        <f>IFERROR(VLOOKUP(A57,'درآمد ناشی از فروش'!A:Q,9,0),0)</f>
        <v>0</v>
      </c>
      <c r="H57" s="41"/>
      <c r="I57" s="41">
        <f t="shared" si="0"/>
        <v>72449122624</v>
      </c>
      <c r="J57" s="41"/>
      <c r="K57" s="86">
        <f t="shared" si="1"/>
        <v>14.75955991501505</v>
      </c>
      <c r="L57" s="41"/>
      <c r="M57" s="41">
        <f>IFERROR(VLOOKUP(A57,'درآمد سود سهام'!A:S,15,0),0)</f>
        <v>0</v>
      </c>
      <c r="N57" s="41"/>
      <c r="O57" s="41">
        <f>IFERROR(VLOOKUP(A57,'درآمد ناشی از تغییر قیمت اوراق'!A:Q,17,0),0)</f>
        <v>118660826434</v>
      </c>
      <c r="P57" s="41"/>
      <c r="Q57" s="41">
        <f>IFERROR(VLOOKUP(A57,'درآمد ناشی از فروش'!A:Q,17,0),0)</f>
        <v>0</v>
      </c>
      <c r="R57" s="41"/>
      <c r="S57" s="41">
        <f t="shared" si="2"/>
        <v>118660826434</v>
      </c>
      <c r="T57" s="41"/>
      <c r="U57" s="86">
        <f>S57/درآمد!$F$12*100</f>
        <v>15.764364525474164</v>
      </c>
    </row>
    <row r="58" spans="1:21" ht="18.75">
      <c r="A58" s="12" t="s">
        <v>198</v>
      </c>
      <c r="C58" s="41">
        <f>IFERROR(VLOOKUP(A58,'درآمد سود سهام'!A:S,9,0),0)</f>
        <v>0</v>
      </c>
      <c r="D58" s="41"/>
      <c r="E58" s="41">
        <f>IFERROR(VLOOKUP(A58,'درآمد ناشی از تغییر قیمت اوراق'!A:Q,9,0),0)</f>
        <v>-888414212</v>
      </c>
      <c r="F58" s="41"/>
      <c r="G58" s="41">
        <f>IFERROR(VLOOKUP(A58,'درآمد ناشی از فروش'!A:Q,9,0),0)</f>
        <v>0</v>
      </c>
      <c r="H58" s="41"/>
      <c r="I58" s="41">
        <f t="shared" si="0"/>
        <v>-888414212</v>
      </c>
      <c r="J58" s="41"/>
      <c r="K58" s="86">
        <f t="shared" si="1"/>
        <v>-0.18099049811020224</v>
      </c>
      <c r="L58" s="41"/>
      <c r="M58" s="41">
        <f>IFERROR(VLOOKUP(A58,'درآمد سود سهام'!A:S,15,0),0)</f>
        <v>0</v>
      </c>
      <c r="N58" s="41"/>
      <c r="O58" s="41">
        <f>IFERROR(VLOOKUP(A58,'درآمد ناشی از تغییر قیمت اوراق'!A:Q,17,0),0)</f>
        <v>-888414212</v>
      </c>
      <c r="P58" s="41"/>
      <c r="Q58" s="41">
        <f>IFERROR(VLOOKUP(A58,'درآمد ناشی از فروش'!A:Q,17,0),0)</f>
        <v>0</v>
      </c>
      <c r="R58" s="41"/>
      <c r="S58" s="41">
        <f t="shared" si="2"/>
        <v>-888414212</v>
      </c>
      <c r="T58" s="41"/>
      <c r="U58" s="86">
        <f>S58/درآمد!$F$12*100</f>
        <v>-0.11802787750993564</v>
      </c>
    </row>
    <row r="59" spans="1:21" ht="18.75">
      <c r="A59" s="12" t="s">
        <v>214</v>
      </c>
      <c r="C59" s="41">
        <f>IFERROR(VLOOKUP(A59,'درآمد سود سهام'!A:S,9,0),0)</f>
        <v>0</v>
      </c>
      <c r="D59" s="41"/>
      <c r="E59" s="41">
        <f>IFERROR(VLOOKUP(A59,'درآمد ناشی از تغییر قیمت اوراق'!A:Q,9,0),0)</f>
        <v>13491722160</v>
      </c>
      <c r="F59" s="41"/>
      <c r="G59" s="41">
        <f>IFERROR(VLOOKUP(A59,'درآمد ناشی از فروش'!A:Q,9,0),0)</f>
        <v>0</v>
      </c>
      <c r="H59" s="41"/>
      <c r="I59" s="41">
        <f t="shared" si="0"/>
        <v>13491722160</v>
      </c>
      <c r="J59" s="41"/>
      <c r="K59" s="86">
        <f t="shared" si="1"/>
        <v>2.7485754742775921</v>
      </c>
      <c r="L59" s="41"/>
      <c r="M59" s="41">
        <f>IFERROR(VLOOKUP(A59,'درآمد سود سهام'!A:S,15,0),0)</f>
        <v>0</v>
      </c>
      <c r="N59" s="41"/>
      <c r="O59" s="41">
        <f>IFERROR(VLOOKUP(A59,'درآمد ناشی از تغییر قیمت اوراق'!A:Q,17,0),0)</f>
        <v>13491722160</v>
      </c>
      <c r="P59" s="41"/>
      <c r="Q59" s="41">
        <f>IFERROR(VLOOKUP(A59,'درآمد ناشی از فروش'!A:Q,17,0),0)</f>
        <v>0</v>
      </c>
      <c r="R59" s="41"/>
      <c r="S59" s="41">
        <f t="shared" si="2"/>
        <v>13491722160</v>
      </c>
      <c r="T59" s="41"/>
      <c r="U59" s="86">
        <f>S59/درآمد!$F$12*100</f>
        <v>1.7924064124478056</v>
      </c>
    </row>
    <row r="60" spans="1:21" ht="18.75">
      <c r="A60" s="12" t="s">
        <v>207</v>
      </c>
      <c r="C60" s="41">
        <f>IFERROR(VLOOKUP(A60,'درآمد سود سهام'!A:S,9,0),0)</f>
        <v>0</v>
      </c>
      <c r="D60" s="41"/>
      <c r="E60" s="41">
        <f>IFERROR(VLOOKUP(A60,'درآمد ناشی از تغییر قیمت اوراق'!A:Q,9,0),0)</f>
        <v>526919686</v>
      </c>
      <c r="F60" s="41"/>
      <c r="G60" s="41">
        <f>IFERROR(VLOOKUP(A60,'درآمد ناشی از فروش'!A:Q,9,0),0)</f>
        <v>0</v>
      </c>
      <c r="H60" s="41"/>
      <c r="I60" s="41">
        <f t="shared" si="0"/>
        <v>526919686</v>
      </c>
      <c r="J60" s="41"/>
      <c r="K60" s="86">
        <f t="shared" si="1"/>
        <v>0.10734571233222386</v>
      </c>
      <c r="L60" s="41"/>
      <c r="M60" s="41">
        <f>IFERROR(VLOOKUP(A60,'درآمد سود سهام'!A:S,15,0),0)</f>
        <v>0</v>
      </c>
      <c r="N60" s="41"/>
      <c r="O60" s="41">
        <f>IFERROR(VLOOKUP(A60,'درآمد ناشی از تغییر قیمت اوراق'!A:Q,17,0),0)</f>
        <v>526919686</v>
      </c>
      <c r="P60" s="41"/>
      <c r="Q60" s="41">
        <f>IFERROR(VLOOKUP(A60,'درآمد ناشی از فروش'!A:Q,17,0),0)</f>
        <v>0</v>
      </c>
      <c r="R60" s="41"/>
      <c r="S60" s="41">
        <f t="shared" si="2"/>
        <v>526919686</v>
      </c>
      <c r="T60" s="41"/>
      <c r="U60" s="86">
        <f>S60/درآمد!$F$12*100</f>
        <v>7.0002495814172935E-2</v>
      </c>
    </row>
    <row r="61" spans="1:21" ht="18.75">
      <c r="A61" s="12" t="s">
        <v>164</v>
      </c>
      <c r="C61" s="41">
        <f>IFERROR(VLOOKUP(A61,'درآمد سود سهام'!A:S,9,0),0)</f>
        <v>0</v>
      </c>
      <c r="D61" s="41"/>
      <c r="E61" s="41">
        <f>IFERROR(VLOOKUP(A61,'درآمد ناشی از تغییر قیمت اوراق'!A:Q,9,0),0)</f>
        <v>611238320</v>
      </c>
      <c r="F61" s="41"/>
      <c r="G61" s="41">
        <f>IFERROR(VLOOKUP(A61,'درآمد ناشی از فروش'!A:Q,9,0),0)</f>
        <v>0</v>
      </c>
      <c r="H61" s="41"/>
      <c r="I61" s="41">
        <f t="shared" si="0"/>
        <v>611238320</v>
      </c>
      <c r="J61" s="41"/>
      <c r="K61" s="86">
        <f t="shared" si="1"/>
        <v>0.12452336591036342</v>
      </c>
      <c r="L61" s="41"/>
      <c r="M61" s="41">
        <f>IFERROR(VLOOKUP(A61,'درآمد سود سهام'!A:S,15,0),0)</f>
        <v>0</v>
      </c>
      <c r="N61" s="41"/>
      <c r="O61" s="41">
        <f>IFERROR(VLOOKUP(A61,'درآمد ناشی از تغییر قیمت اوراق'!A:Q,17,0),0)</f>
        <v>-4280959216</v>
      </c>
      <c r="P61" s="41"/>
      <c r="Q61" s="41">
        <f>IFERROR(VLOOKUP(A61,'درآمد ناشی از فروش'!A:Q,17,0),0)</f>
        <v>0</v>
      </c>
      <c r="R61" s="41"/>
      <c r="S61" s="41">
        <f t="shared" si="2"/>
        <v>-4280959216</v>
      </c>
      <c r="T61" s="41"/>
      <c r="U61" s="86">
        <f>S61/درآمد!$F$12*100</f>
        <v>-0.5687353074120769</v>
      </c>
    </row>
    <row r="62" spans="1:21" ht="18.75">
      <c r="A62" s="12" t="s">
        <v>201</v>
      </c>
      <c r="C62" s="41">
        <f>IFERROR(VLOOKUP(A62,'درآمد سود سهام'!A:S,9,0),0)</f>
        <v>0</v>
      </c>
      <c r="D62" s="41"/>
      <c r="E62" s="41">
        <f>IFERROR(VLOOKUP(A62,'درآمد ناشی از تغییر قیمت اوراق'!A:Q,9,0),0)</f>
        <v>463009091</v>
      </c>
      <c r="F62" s="41"/>
      <c r="G62" s="41">
        <f>IFERROR(VLOOKUP(A62,'درآمد ناشی از فروش'!A:Q,9,0),0)</f>
        <v>0</v>
      </c>
      <c r="H62" s="41"/>
      <c r="I62" s="41">
        <f t="shared" si="0"/>
        <v>463009091</v>
      </c>
      <c r="J62" s="41"/>
      <c r="K62" s="86">
        <f t="shared" si="1"/>
        <v>9.4325647741486093E-2</v>
      </c>
      <c r="L62" s="41"/>
      <c r="M62" s="41">
        <f>IFERROR(VLOOKUP(A62,'درآمد سود سهام'!A:S,15,0),0)</f>
        <v>0</v>
      </c>
      <c r="N62" s="41"/>
      <c r="O62" s="41">
        <f>IFERROR(VLOOKUP(A62,'درآمد ناشی از تغییر قیمت اوراق'!A:Q,17,0),0)</f>
        <v>463009091</v>
      </c>
      <c r="P62" s="41"/>
      <c r="Q62" s="41">
        <f>IFERROR(VLOOKUP(A62,'درآمد ناشی از فروش'!A:Q,17,0),0)</f>
        <v>0</v>
      </c>
      <c r="R62" s="41"/>
      <c r="S62" s="41">
        <f t="shared" si="2"/>
        <v>463009091</v>
      </c>
      <c r="T62" s="41"/>
      <c r="U62" s="86">
        <f>S62/درآمد!$F$12*100</f>
        <v>6.1511825835733745E-2</v>
      </c>
    </row>
    <row r="63" spans="1:21" ht="18.75">
      <c r="A63" s="12" t="s">
        <v>32</v>
      </c>
      <c r="C63" s="41">
        <f>IFERROR(VLOOKUP(A63,'درآمد سود سهام'!A:S,9,0),0)</f>
        <v>0</v>
      </c>
      <c r="D63" s="41"/>
      <c r="E63" s="41">
        <f>IFERROR(VLOOKUP(A63,'درآمد ناشی از تغییر قیمت اوراق'!A:Q,9,0),0)</f>
        <v>8312001840</v>
      </c>
      <c r="F63" s="41"/>
      <c r="G63" s="41">
        <f>IFERROR(VLOOKUP(A63,'درآمد ناشی از فروش'!A:Q,9,0),0)</f>
        <v>0</v>
      </c>
      <c r="H63" s="41"/>
      <c r="I63" s="41">
        <f t="shared" si="0"/>
        <v>8312001840</v>
      </c>
      <c r="J63" s="41"/>
      <c r="K63" s="86">
        <f t="shared" si="1"/>
        <v>1.6933467891377199</v>
      </c>
      <c r="L63" s="41"/>
      <c r="M63" s="41">
        <f>IFERROR(VLOOKUP(A63,'درآمد سود سهام'!A:S,15,0),0)</f>
        <v>0</v>
      </c>
      <c r="N63" s="41"/>
      <c r="O63" s="41">
        <f>IFERROR(VLOOKUP(A63,'درآمد ناشی از تغییر قیمت اوراق'!A:Q,17,0),0)</f>
        <v>12807898747</v>
      </c>
      <c r="P63" s="41"/>
      <c r="Q63" s="41">
        <f>IFERROR(VLOOKUP(A63,'درآمد ناشی از فروش'!A:Q,17,0),0)</f>
        <v>0</v>
      </c>
      <c r="R63" s="41"/>
      <c r="S63" s="41">
        <f t="shared" si="2"/>
        <v>12807898747</v>
      </c>
      <c r="T63" s="41"/>
      <c r="U63" s="86">
        <f>S63/درآمد!$F$12*100</f>
        <v>1.7015588945470113</v>
      </c>
    </row>
    <row r="64" spans="1:21" ht="18.75">
      <c r="A64" s="12" t="s">
        <v>206</v>
      </c>
      <c r="C64" s="41">
        <f>IFERROR(VLOOKUP(A64,'درآمد سود سهام'!A:S,9,0),0)</f>
        <v>0</v>
      </c>
      <c r="D64" s="41"/>
      <c r="E64" s="41">
        <f>IFERROR(VLOOKUP(A64,'درآمد ناشی از تغییر قیمت اوراق'!A:Q,9,0),0)</f>
        <v>842827600</v>
      </c>
      <c r="F64" s="41"/>
      <c r="G64" s="41">
        <f>IFERROR(VLOOKUP(A64,'درآمد ناشی از فروش'!A:Q,9,0),0)</f>
        <v>0</v>
      </c>
      <c r="H64" s="41"/>
      <c r="I64" s="41">
        <f t="shared" si="0"/>
        <v>842827600</v>
      </c>
      <c r="J64" s="41"/>
      <c r="K64" s="86">
        <f t="shared" si="1"/>
        <v>0.17170345215619567</v>
      </c>
      <c r="L64" s="41"/>
      <c r="M64" s="41">
        <f>IFERROR(VLOOKUP(A64,'درآمد سود سهام'!A:S,15,0),0)</f>
        <v>0</v>
      </c>
      <c r="N64" s="41"/>
      <c r="O64" s="41">
        <f>IFERROR(VLOOKUP(A64,'درآمد ناشی از تغییر قیمت اوراق'!A:Q,17,0),0)</f>
        <v>842827600</v>
      </c>
      <c r="P64" s="41"/>
      <c r="Q64" s="41">
        <f>IFERROR(VLOOKUP(A64,'درآمد ناشی از فروش'!A:Q,17,0),0)</f>
        <v>0</v>
      </c>
      <c r="R64" s="41"/>
      <c r="S64" s="41">
        <f t="shared" si="2"/>
        <v>842827600</v>
      </c>
      <c r="T64" s="41"/>
      <c r="U64" s="86">
        <f>S64/درآمد!$F$12*100</f>
        <v>0.1119715909438795</v>
      </c>
    </row>
    <row r="65" spans="1:21" ht="18.75">
      <c r="A65" s="12" t="s">
        <v>199</v>
      </c>
      <c r="C65" s="41">
        <f>IFERROR(VLOOKUP(A65,'درآمد سود سهام'!A:S,9,0),0)</f>
        <v>0</v>
      </c>
      <c r="D65" s="41"/>
      <c r="E65" s="41">
        <f>IFERROR(VLOOKUP(A65,'درآمد ناشی از تغییر قیمت اوراق'!A:Q,9,0),0)</f>
        <v>194001</v>
      </c>
      <c r="F65" s="41"/>
      <c r="G65" s="41">
        <f>IFERROR(VLOOKUP(A65,'درآمد ناشی از فروش'!A:Q,9,0),0)</f>
        <v>0</v>
      </c>
      <c r="H65" s="41"/>
      <c r="I65" s="41">
        <f t="shared" si="0"/>
        <v>194001</v>
      </c>
      <c r="J65" s="41"/>
      <c r="K65" s="86">
        <f t="shared" si="1"/>
        <v>3.9522485288514654E-5</v>
      </c>
      <c r="L65" s="41"/>
      <c r="M65" s="41">
        <f>IFERROR(VLOOKUP(A65,'درآمد سود سهام'!A:S,15,0),0)</f>
        <v>0</v>
      </c>
      <c r="N65" s="41"/>
      <c r="O65" s="41">
        <f>IFERROR(VLOOKUP(A65,'درآمد ناشی از تغییر قیمت اوراق'!A:Q,17,0),0)</f>
        <v>194001</v>
      </c>
      <c r="P65" s="41"/>
      <c r="Q65" s="41">
        <f>IFERROR(VLOOKUP(A65,'درآمد ناشی از فروش'!A:Q,17,0),0)</f>
        <v>0</v>
      </c>
      <c r="R65" s="41"/>
      <c r="S65" s="41">
        <f t="shared" si="2"/>
        <v>194001</v>
      </c>
      <c r="T65" s="41"/>
      <c r="U65" s="86">
        <f>S65/درآمد!$F$12*100</f>
        <v>2.5773480382825101E-5</v>
      </c>
    </row>
    <row r="66" spans="1:21" ht="18.75">
      <c r="A66" s="12" t="s">
        <v>202</v>
      </c>
      <c r="C66" s="41">
        <f>IFERROR(VLOOKUP(A66,'درآمد سود سهام'!A:S,9,0),0)</f>
        <v>0</v>
      </c>
      <c r="D66" s="41"/>
      <c r="E66" s="41">
        <f>IFERROR(VLOOKUP(A66,'درآمد ناشی از تغییر قیمت اوراق'!A:Q,9,0),0)</f>
        <v>14258467859</v>
      </c>
      <c r="F66" s="41"/>
      <c r="G66" s="41">
        <f>IFERROR(VLOOKUP(A66,'درآمد ناشی از فروش'!A:Q,9,0),0)</f>
        <v>0</v>
      </c>
      <c r="H66" s="41"/>
      <c r="I66" s="41">
        <f t="shared" si="0"/>
        <v>14258467859</v>
      </c>
      <c r="J66" s="41"/>
      <c r="K66" s="86">
        <f t="shared" si="1"/>
        <v>2.9047792856433037</v>
      </c>
      <c r="L66" s="41"/>
      <c r="M66" s="41">
        <f>IFERROR(VLOOKUP(A66,'درآمد سود سهام'!A:S,15,0),0)</f>
        <v>0</v>
      </c>
      <c r="N66" s="41"/>
      <c r="O66" s="41">
        <f>IFERROR(VLOOKUP(A66,'درآمد ناشی از تغییر قیمت اوراق'!A:Q,17,0),0)</f>
        <v>14258467859</v>
      </c>
      <c r="P66" s="41"/>
      <c r="Q66" s="41">
        <f>IFERROR(VLOOKUP(A66,'درآمد ناشی از فروش'!A:Q,17,0),0)</f>
        <v>0</v>
      </c>
      <c r="R66" s="41"/>
      <c r="S66" s="41">
        <f t="shared" si="2"/>
        <v>14258467859</v>
      </c>
      <c r="T66" s="41"/>
      <c r="U66" s="86">
        <f>S66/درآمد!$F$12*100</f>
        <v>1.8942703473336673</v>
      </c>
    </row>
    <row r="67" spans="1:21" ht="18.75">
      <c r="A67" s="12" t="s">
        <v>200</v>
      </c>
      <c r="C67" s="41">
        <f>IFERROR(VLOOKUP(A67,'درآمد سود سهام'!A:S,9,0),0)</f>
        <v>0</v>
      </c>
      <c r="D67" s="41"/>
      <c r="E67" s="41">
        <f>IFERROR(VLOOKUP(A67,'درآمد ناشی از تغییر قیمت اوراق'!A:Q,9,0),0)</f>
        <v>241148652</v>
      </c>
      <c r="F67" s="41"/>
      <c r="G67" s="41">
        <f>IFERROR(VLOOKUP(A67,'درآمد  اختیار'!A:L,10,0),0)</f>
        <v>0</v>
      </c>
      <c r="H67" s="41"/>
      <c r="I67" s="41">
        <f t="shared" si="0"/>
        <v>241148652</v>
      </c>
      <c r="J67" s="41"/>
      <c r="K67" s="86">
        <f t="shared" si="1"/>
        <v>4.9127551151876232E-2</v>
      </c>
      <c r="L67" s="41"/>
      <c r="M67" s="41">
        <f>IFERROR(VLOOKUP(A67,'درآمد سود سهام'!A:S,15,0),0)</f>
        <v>0</v>
      </c>
      <c r="N67" s="41"/>
      <c r="O67" s="41">
        <f>IFERROR(VLOOKUP(A67,'درآمد ناشی از تغییر قیمت اوراق'!A:Q,17,0),0)</f>
        <v>241148651</v>
      </c>
      <c r="P67" s="41"/>
      <c r="Q67" s="41">
        <f>IFERROR(VLOOKUP(A67,'درآمد  اختیار'!A:L,12,0),0)</f>
        <v>0</v>
      </c>
      <c r="R67" s="41"/>
      <c r="S67" s="41">
        <f t="shared" si="2"/>
        <v>241148651</v>
      </c>
      <c r="T67" s="41"/>
      <c r="U67" s="86">
        <f>S67/درآمد!$F$12*100</f>
        <v>3.2037154581127096E-2</v>
      </c>
    </row>
    <row r="68" spans="1:21" ht="18.75">
      <c r="A68" s="12" t="s">
        <v>203</v>
      </c>
      <c r="C68" s="41">
        <f>IFERROR(VLOOKUP(A68,'درآمد سود سهام'!A:S,9,0),0)</f>
        <v>0</v>
      </c>
      <c r="D68" s="41"/>
      <c r="E68" s="41">
        <f>IFERROR(VLOOKUP(A68,'درآمد ناشی از تغییر قیمت اوراق'!A:Q,9,0),0)</f>
        <v>-312467844</v>
      </c>
      <c r="F68" s="41"/>
      <c r="G68" s="41">
        <f>IFERROR(VLOOKUP(A68,'درآمد  اختیار'!A:L,10,0),0)</f>
        <v>0</v>
      </c>
      <c r="H68" s="41"/>
      <c r="I68" s="41">
        <f t="shared" si="0"/>
        <v>-312467844</v>
      </c>
      <c r="J68" s="41"/>
      <c r="K68" s="86">
        <f t="shared" si="1"/>
        <v>-6.3656918096421627E-2</v>
      </c>
      <c r="L68" s="41"/>
      <c r="M68" s="41">
        <f>IFERROR(VLOOKUP(A68,'درآمد سود سهام'!A:S,15,0),0)</f>
        <v>0</v>
      </c>
      <c r="N68" s="41"/>
      <c r="O68" s="41">
        <f>IFERROR(VLOOKUP(A68,'درآمد ناشی از تغییر قیمت اوراق'!A:Q,17,0),0)</f>
        <v>-312467844</v>
      </c>
      <c r="P68" s="41"/>
      <c r="Q68" s="41">
        <f>IFERROR(VLOOKUP(A68,'درآمد  اختیار'!A:L,12,0),0)</f>
        <v>0</v>
      </c>
      <c r="R68" s="41"/>
      <c r="S68" s="41">
        <f t="shared" si="2"/>
        <v>-312467844</v>
      </c>
      <c r="T68" s="41"/>
      <c r="U68" s="86">
        <f>S68/درآمد!$F$12*100</f>
        <v>-4.151207389445237E-2</v>
      </c>
    </row>
    <row r="69" spans="1:21" ht="18.75">
      <c r="A69" s="12" t="s">
        <v>209</v>
      </c>
      <c r="C69" s="41">
        <f>IFERROR(VLOOKUP(A69,'درآمد سود سهام'!A:S,9,0),0)</f>
        <v>0</v>
      </c>
      <c r="D69" s="41"/>
      <c r="E69" s="41">
        <f>IFERROR(VLOOKUP(A69,'درآمد ناشی از تغییر قیمت اوراق'!A:Q,9,0),0)</f>
        <v>2496870683</v>
      </c>
      <c r="F69" s="41"/>
      <c r="G69" s="41">
        <f>IFERROR(VLOOKUP(A69,'درآمد  اختیار'!A:L,10,0),0)</f>
        <v>0</v>
      </c>
      <c r="H69" s="41"/>
      <c r="I69" s="41">
        <f t="shared" si="0"/>
        <v>2496870683</v>
      </c>
      <c r="J69" s="41"/>
      <c r="K69" s="86">
        <f t="shared" si="1"/>
        <v>0.50867023796883026</v>
      </c>
      <c r="L69" s="41"/>
      <c r="M69" s="41">
        <f>IFERROR(VLOOKUP(A69,'درآمد سود سهام'!A:S,15,0),0)</f>
        <v>0</v>
      </c>
      <c r="N69" s="41"/>
      <c r="O69" s="41">
        <f>IFERROR(VLOOKUP(A69,'درآمد ناشی از تغییر قیمت اوراق'!A:Q,17,0),0)</f>
        <v>2496870683</v>
      </c>
      <c r="P69" s="41"/>
      <c r="Q69" s="41">
        <f>IFERROR(VLOOKUP(A69,'درآمد  اختیار'!A:L,12,0),0)</f>
        <v>0</v>
      </c>
      <c r="R69" s="41"/>
      <c r="S69" s="41">
        <f t="shared" si="2"/>
        <v>2496870683</v>
      </c>
      <c r="T69" s="41"/>
      <c r="U69" s="86">
        <f>S69/درآمد!$F$12*100</f>
        <v>0.33171503016351267</v>
      </c>
    </row>
    <row r="70" spans="1:21" ht="18.75">
      <c r="A70" s="12" t="s">
        <v>204</v>
      </c>
      <c r="C70" s="41">
        <f>IFERROR(VLOOKUP(A70,'درآمد سود سهام'!A:S,9,0),0)</f>
        <v>0</v>
      </c>
      <c r="D70" s="41"/>
      <c r="E70" s="41">
        <f>IFERROR(VLOOKUP(A70,'درآمد ناشی از تغییر قیمت اوراق'!A:Q,9,0),0)</f>
        <v>-27643750</v>
      </c>
      <c r="F70" s="41"/>
      <c r="G70" s="41">
        <f>IFERROR(VLOOKUP(A70,'درآمد  اختیار'!A:L,10,0),0)</f>
        <v>0</v>
      </c>
      <c r="H70" s="41"/>
      <c r="I70" s="41">
        <f t="shared" si="0"/>
        <v>-27643750</v>
      </c>
      <c r="J70" s="41"/>
      <c r="K70" s="86">
        <f t="shared" si="1"/>
        <v>-5.6316704691954014E-3</v>
      </c>
      <c r="L70" s="41"/>
      <c r="M70" s="41">
        <f>IFERROR(VLOOKUP(A70,'درآمد سود سهام'!A:S,15,0),0)</f>
        <v>0</v>
      </c>
      <c r="N70" s="41"/>
      <c r="O70" s="41">
        <f>IFERROR(VLOOKUP(A70,'درآمد ناشی از تغییر قیمت اوراق'!A:Q,17,0),0)</f>
        <v>-27643750</v>
      </c>
      <c r="P70" s="41"/>
      <c r="Q70" s="41">
        <f>IFERROR(VLOOKUP(A70,'درآمد  اختیار'!A:L,12,0),0)</f>
        <v>0</v>
      </c>
      <c r="R70" s="41"/>
      <c r="S70" s="41">
        <f t="shared" si="2"/>
        <v>-27643750</v>
      </c>
      <c r="T70" s="41"/>
      <c r="U70" s="86">
        <f>S70/درآمد!$F$12*100</f>
        <v>-3.6725359577152775E-3</v>
      </c>
    </row>
    <row r="71" spans="1:21" ht="18.75">
      <c r="A71" s="12" t="s">
        <v>205</v>
      </c>
      <c r="C71" s="41">
        <f>IFERROR(VLOOKUP(A71,'درآمد سود سهام'!A:S,9,0),0)</f>
        <v>0</v>
      </c>
      <c r="D71" s="41"/>
      <c r="E71" s="41">
        <f>IFERROR(VLOOKUP(A71,'درآمد ناشی از تغییر قیمت اوراق'!A:Q,9,0),0)</f>
        <v>-164175817</v>
      </c>
      <c r="F71" s="41"/>
      <c r="G71" s="41">
        <f>IFERROR(VLOOKUP(A71,'درآمد  اختیار'!A:L,10,0),0)</f>
        <v>0</v>
      </c>
      <c r="H71" s="41"/>
      <c r="I71" s="41">
        <f t="shared" si="0"/>
        <v>-164175817</v>
      </c>
      <c r="J71" s="41"/>
      <c r="K71" s="86">
        <f t="shared" si="1"/>
        <v>-3.3446406524256962E-2</v>
      </c>
      <c r="L71" s="41"/>
      <c r="M71" s="41">
        <f>IFERROR(VLOOKUP(A71,'درآمد سود سهام'!A:S,15,0),0)</f>
        <v>0</v>
      </c>
      <c r="N71" s="41"/>
      <c r="O71" s="41">
        <f>IFERROR(VLOOKUP(A71,'درآمد ناشی از تغییر قیمت اوراق'!A:Q,17,0),0)</f>
        <v>-164175816</v>
      </c>
      <c r="P71" s="41"/>
      <c r="Q71" s="41">
        <f>IFERROR(VLOOKUP(A71,'درآمد  اختیار'!A:L,12,0),0)</f>
        <v>0</v>
      </c>
      <c r="R71" s="41"/>
      <c r="S71" s="41">
        <f t="shared" si="2"/>
        <v>-164175816</v>
      </c>
      <c r="T71" s="41"/>
      <c r="U71" s="86">
        <f>S71/درآمد!$F$12*100</f>
        <v>-2.1811135885950607E-2</v>
      </c>
    </row>
    <row r="72" spans="1:21" ht="18.75">
      <c r="A72" s="12" t="s">
        <v>143</v>
      </c>
      <c r="C72" s="41">
        <f>IFERROR(VLOOKUP(A72,'درآمد سود سهام'!A:S,9,0),0)</f>
        <v>0</v>
      </c>
      <c r="D72" s="41"/>
      <c r="E72" s="41">
        <f>IFERROR(VLOOKUP(A72,'درآمد ناشی از تغییر قیمت اوراق'!A:Q,9,0),0)</f>
        <v>0</v>
      </c>
      <c r="F72" s="41"/>
      <c r="G72" s="41">
        <f>IFERROR(VLOOKUP(A72,'درآمد  اختیار'!A:L,10,0),0)</f>
        <v>0</v>
      </c>
      <c r="H72" s="41"/>
      <c r="I72" s="41">
        <f t="shared" si="0"/>
        <v>0</v>
      </c>
      <c r="J72" s="41"/>
      <c r="K72" s="86">
        <f t="shared" si="1"/>
        <v>0</v>
      </c>
      <c r="L72" s="41"/>
      <c r="M72" s="41">
        <f>IFERROR(VLOOKUP(A72,'درآمد سود سهام'!A:S,15,0),0)</f>
        <v>0</v>
      </c>
      <c r="N72" s="41"/>
      <c r="O72" s="41">
        <f>IFERROR(VLOOKUP(A72,'درآمد ناشی از تغییر قیمت اوراق'!A:Q,17,0),0)</f>
        <v>0</v>
      </c>
      <c r="P72" s="41"/>
      <c r="Q72" s="41">
        <f>IFERROR(VLOOKUP(A72,'درآمد  اختیار'!A:L,12,0),0)</f>
        <v>860979948</v>
      </c>
      <c r="R72" s="41"/>
      <c r="S72" s="41">
        <f t="shared" si="2"/>
        <v>860979948</v>
      </c>
      <c r="T72" s="41"/>
      <c r="U72" s="86">
        <f>S72/درآمد!$F$12*100</f>
        <v>0.11438317225057489</v>
      </c>
    </row>
    <row r="73" spans="1:21" ht="18.75">
      <c r="A73" s="12" t="s">
        <v>193</v>
      </c>
      <c r="C73" s="41">
        <f>IFERROR(VLOOKUP(A73,'درآمد سود سهام'!A:S,9,0),0)</f>
        <v>0</v>
      </c>
      <c r="D73" s="41"/>
      <c r="E73" s="41">
        <f>IFERROR(VLOOKUP(A73,'درآمد ناشی از تغییر قیمت اوراق'!A:Q,9,0),0)</f>
        <v>0</v>
      </c>
      <c r="F73" s="41"/>
      <c r="G73" s="41">
        <f>IFERROR(VLOOKUP(A73,'درآمد  اختیار'!A:L,10,0),0)</f>
        <v>0</v>
      </c>
      <c r="H73" s="41"/>
      <c r="I73" s="41">
        <f t="shared" si="0"/>
        <v>0</v>
      </c>
      <c r="J73" s="41"/>
      <c r="K73" s="86">
        <f t="shared" si="1"/>
        <v>0</v>
      </c>
      <c r="L73" s="41"/>
      <c r="M73" s="41">
        <f>IFERROR(VLOOKUP(A73,'درآمد سود سهام'!A:S,15,0),0)</f>
        <v>0</v>
      </c>
      <c r="N73" s="41"/>
      <c r="O73" s="41">
        <f>IFERROR(VLOOKUP(A73,'درآمد ناشی از تغییر قیمت اوراق'!A:Q,17,0),0)</f>
        <v>-1</v>
      </c>
      <c r="P73" s="41"/>
      <c r="Q73" s="41">
        <f>IFERROR(VLOOKUP(A73,'درآمد  اختیار'!A:L,12,0),0)</f>
        <v>25012631</v>
      </c>
      <c r="R73" s="41"/>
      <c r="S73" s="41">
        <f t="shared" si="2"/>
        <v>25012630</v>
      </c>
      <c r="T73" s="41"/>
      <c r="U73" s="86">
        <f>S73/درآمد!$F$12*100</f>
        <v>3.3229855960941572E-3</v>
      </c>
    </row>
    <row r="74" spans="1:21" ht="18.75">
      <c r="A74" s="12" t="s">
        <v>181</v>
      </c>
      <c r="C74" s="41">
        <f>IFERROR(VLOOKUP(A74,'درآمد سود سهام'!A:S,9,0),0)</f>
        <v>0</v>
      </c>
      <c r="D74" s="41"/>
      <c r="E74" s="41">
        <f>IFERROR(VLOOKUP(A74,'درآمد ناشی از تغییر قیمت اوراق'!A:Q,9,0),0)</f>
        <v>0</v>
      </c>
      <c r="F74" s="41"/>
      <c r="G74" s="41">
        <f>IFERROR(VLOOKUP(A74,'درآمد  اختیار'!A:L,10,0),0)</f>
        <v>0</v>
      </c>
      <c r="H74" s="41"/>
      <c r="I74" s="41">
        <f t="shared" ref="I74:I80" si="3">C74+E74+G74</f>
        <v>0</v>
      </c>
      <c r="J74" s="41"/>
      <c r="K74" s="86">
        <f t="shared" ref="K74:K80" si="4">I74/490862349834*100</f>
        <v>0</v>
      </c>
      <c r="L74" s="41"/>
      <c r="M74" s="41">
        <f>IFERROR(VLOOKUP(A74,'درآمد سود سهام'!A:S,15,0),0)</f>
        <v>0</v>
      </c>
      <c r="N74" s="41"/>
      <c r="O74" s="41">
        <f>IFERROR(VLOOKUP(A74,'درآمد ناشی از تغییر قیمت اوراق'!A:Q,17,0),0)</f>
        <v>0</v>
      </c>
      <c r="P74" s="41"/>
      <c r="Q74" s="41">
        <f>IFERROR(VLOOKUP(A74,'درآمد  اختیار'!A:L,12,0),0)</f>
        <v>610784507</v>
      </c>
      <c r="R74" s="41"/>
      <c r="S74" s="41">
        <f t="shared" ref="S74:S80" si="5">M74+O74+Q74</f>
        <v>610784507</v>
      </c>
      <c r="T74" s="41"/>
      <c r="U74" s="86">
        <f>S74/درآمد!$F$12*100</f>
        <v>8.1144130748284818E-2</v>
      </c>
    </row>
    <row r="75" spans="1:21" ht="18.75">
      <c r="A75" s="12" t="s">
        <v>173</v>
      </c>
      <c r="C75" s="41">
        <f>IFERROR(VLOOKUP(A75,'درآمد سود سهام'!A:S,9,0),0)</f>
        <v>0</v>
      </c>
      <c r="D75" s="41"/>
      <c r="E75" s="41">
        <f>IFERROR(VLOOKUP(A75,'درآمد ناشی از تغییر قیمت اوراق'!A:Q,9,0),0)</f>
        <v>0</v>
      </c>
      <c r="F75" s="41"/>
      <c r="G75" s="41">
        <f>IFERROR(VLOOKUP(A75,'درآمد  اختیار'!A:L,10,0),0)</f>
        <v>0</v>
      </c>
      <c r="H75" s="41"/>
      <c r="I75" s="41">
        <f t="shared" si="3"/>
        <v>0</v>
      </c>
      <c r="J75" s="41"/>
      <c r="K75" s="86">
        <f t="shared" si="4"/>
        <v>0</v>
      </c>
      <c r="L75" s="41"/>
      <c r="M75" s="41">
        <f>IFERROR(VLOOKUP(A75,'درآمد سود سهام'!A:S,15,0),0)</f>
        <v>0</v>
      </c>
      <c r="N75" s="41"/>
      <c r="O75" s="41">
        <f>IFERROR(VLOOKUP(A75,'درآمد ناشی از تغییر قیمت اوراق'!A:Q,17,0),0)</f>
        <v>0</v>
      </c>
      <c r="P75" s="41"/>
      <c r="Q75" s="41">
        <f>IFERROR(VLOOKUP(A75,'درآمد  اختیار'!A:L,12,0),0)</f>
        <v>1682096085</v>
      </c>
      <c r="R75" s="41"/>
      <c r="S75" s="41">
        <f t="shared" si="5"/>
        <v>1682096085</v>
      </c>
      <c r="T75" s="41"/>
      <c r="U75" s="86">
        <f>S75/درآمد!$F$12*100</f>
        <v>0.22347034524963483</v>
      </c>
    </row>
    <row r="76" spans="1:21" ht="18.75">
      <c r="A76" s="12" t="s">
        <v>174</v>
      </c>
      <c r="C76" s="41">
        <f>IFERROR(VLOOKUP(A76,'درآمد سود سهام'!A:S,9,0),0)</f>
        <v>0</v>
      </c>
      <c r="D76" s="41"/>
      <c r="E76" s="41">
        <f>IFERROR(VLOOKUP(A76,'درآمد ناشی از تغییر قیمت اوراق'!A:Q,9,0),0)</f>
        <v>0</v>
      </c>
      <c r="F76" s="41"/>
      <c r="G76" s="41">
        <f>IFERROR(VLOOKUP(A76,'درآمد  اختیار'!A:L,10,0),0)</f>
        <v>0</v>
      </c>
      <c r="H76" s="41"/>
      <c r="I76" s="41">
        <f t="shared" si="3"/>
        <v>0</v>
      </c>
      <c r="J76" s="41"/>
      <c r="K76" s="86">
        <f t="shared" si="4"/>
        <v>0</v>
      </c>
      <c r="L76" s="41"/>
      <c r="M76" s="41">
        <f>IFERROR(VLOOKUP(A76,'درآمد سود سهام'!A:S,15,0),0)</f>
        <v>0</v>
      </c>
      <c r="N76" s="41"/>
      <c r="O76" s="41">
        <f>IFERROR(VLOOKUP(A76,'درآمد ناشی از تغییر قیمت اوراق'!A:Q,17,0),0)</f>
        <v>0</v>
      </c>
      <c r="P76" s="41"/>
      <c r="Q76" s="41">
        <f>IFERROR(VLOOKUP(A76,'درآمد  اختیار'!A:L,12,0),0)</f>
        <v>-63576171</v>
      </c>
      <c r="R76" s="41"/>
      <c r="S76" s="41">
        <f t="shared" si="5"/>
        <v>-63576171</v>
      </c>
      <c r="T76" s="41"/>
      <c r="U76" s="86">
        <f>S76/درآمد!$F$12*100</f>
        <v>-8.4462409785703903E-3</v>
      </c>
    </row>
    <row r="77" spans="1:21" ht="18.75">
      <c r="A77" s="12" t="s">
        <v>175</v>
      </c>
      <c r="C77" s="41">
        <f>IFERROR(VLOOKUP(A77,'درآمد سود سهام'!A:S,9,0),0)</f>
        <v>0</v>
      </c>
      <c r="D77" s="41"/>
      <c r="E77" s="41">
        <f>IFERROR(VLOOKUP(A77,'درآمد ناشی از تغییر قیمت اوراق'!A:Q,9,0),0)</f>
        <v>-3698190333</v>
      </c>
      <c r="F77" s="41"/>
      <c r="G77" s="41">
        <f>IFERROR(VLOOKUP(A77,'درآمد  اختیار'!A:L,10,0),0)</f>
        <v>3813160132</v>
      </c>
      <c r="H77" s="41"/>
      <c r="I77" s="41">
        <f t="shared" si="3"/>
        <v>114969799</v>
      </c>
      <c r="J77" s="41"/>
      <c r="K77" s="86">
        <f t="shared" si="4"/>
        <v>2.3422003956685724E-2</v>
      </c>
      <c r="L77" s="41"/>
      <c r="M77" s="41">
        <f>IFERROR(VLOOKUP(A77,'درآمد سود سهام'!A:S,15,0),0)</f>
        <v>0</v>
      </c>
      <c r="N77" s="41"/>
      <c r="O77" s="41">
        <f>IFERROR(VLOOKUP(A77,'درآمد ناشی از تغییر قیمت اوراق'!A:Q,17,0),0)</f>
        <v>0</v>
      </c>
      <c r="P77" s="41"/>
      <c r="Q77" s="41">
        <f>IFERROR(VLOOKUP(A77,'درآمد  اختیار'!A:L,12,0),0)</f>
        <v>3813160132</v>
      </c>
      <c r="R77" s="41"/>
      <c r="S77" s="41">
        <f t="shared" si="5"/>
        <v>3813160132</v>
      </c>
      <c r="T77" s="41"/>
      <c r="U77" s="86">
        <f>S77/درآمد!$F$12*100</f>
        <v>0.50658711995645789</v>
      </c>
    </row>
    <row r="78" spans="1:21" ht="18.75">
      <c r="A78" s="12" t="s">
        <v>176</v>
      </c>
      <c r="C78" s="41">
        <f>IFERROR(VLOOKUP(A78,'درآمد سود سهام'!A:S,9,0),0)</f>
        <v>0</v>
      </c>
      <c r="D78" s="41"/>
      <c r="E78" s="41">
        <f>IFERROR(VLOOKUP(A78,'درآمد ناشی از تغییر قیمت اوراق'!A:Q,9,0),0)</f>
        <v>-336829000</v>
      </c>
      <c r="F78" s="41"/>
      <c r="G78" s="41">
        <f>IFERROR(VLOOKUP(A78,'درآمد  اختیار'!A:L,10,0),0)</f>
        <v>23983000</v>
      </c>
      <c r="H78" s="41"/>
      <c r="I78" s="41">
        <f t="shared" si="3"/>
        <v>-312846000</v>
      </c>
      <c r="J78" s="41"/>
      <c r="K78" s="86">
        <f t="shared" si="4"/>
        <v>-6.3733957209347672E-2</v>
      </c>
      <c r="L78" s="41"/>
      <c r="M78" s="41">
        <f>IFERROR(VLOOKUP(A78,'درآمد سود سهام'!A:S,15,0),0)</f>
        <v>0</v>
      </c>
      <c r="N78" s="41"/>
      <c r="O78" s="41">
        <f>IFERROR(VLOOKUP(A78,'درآمد ناشی از تغییر قیمت اوراق'!A:Q,17,0),0)</f>
        <v>0</v>
      </c>
      <c r="P78" s="41"/>
      <c r="Q78" s="41">
        <f>IFERROR(VLOOKUP(A78,'درآمد  اختیار'!A:L,12,0),0)</f>
        <v>23983000</v>
      </c>
      <c r="R78" s="41"/>
      <c r="S78" s="41">
        <f t="shared" si="5"/>
        <v>23983000</v>
      </c>
      <c r="T78" s="41"/>
      <c r="U78" s="86">
        <f>S78/درآمد!$F$12*100</f>
        <v>3.1861968753836034E-3</v>
      </c>
    </row>
    <row r="79" spans="1:21" ht="18.75">
      <c r="A79" s="12" t="s">
        <v>211</v>
      </c>
      <c r="C79" s="41">
        <f>IFERROR(VLOOKUP(A79,'درآمد سود سهام'!A:S,9,0),0)</f>
        <v>0</v>
      </c>
      <c r="D79" s="41"/>
      <c r="E79" s="41">
        <f>IFERROR(VLOOKUP(A79,'درآمد ناشی از تغییر قیمت اوراق'!A:Q,9,0),0)</f>
        <v>0</v>
      </c>
      <c r="F79" s="41"/>
      <c r="G79" s="41">
        <f>IFERROR(VLOOKUP(A79,'درآمد  اختیار'!A:L,10,0),0)</f>
        <v>57683703</v>
      </c>
      <c r="H79" s="41"/>
      <c r="I79" s="41">
        <f t="shared" si="3"/>
        <v>57683703</v>
      </c>
      <c r="J79" s="41"/>
      <c r="K79" s="86">
        <f t="shared" si="4"/>
        <v>1.1751502843823222E-2</v>
      </c>
      <c r="L79" s="41"/>
      <c r="M79" s="41">
        <f>IFERROR(VLOOKUP(A79,'درآمد سود سهام'!A:S,15,0),0)</f>
        <v>0</v>
      </c>
      <c r="N79" s="41"/>
      <c r="O79" s="41">
        <f>IFERROR(VLOOKUP(A79,'درآمد ناشی از تغییر قیمت اوراق'!A:Q,17,0),0)</f>
        <v>0</v>
      </c>
      <c r="P79" s="41"/>
      <c r="Q79" s="41">
        <f>IFERROR(VLOOKUP(A79,'درآمد  اختیار'!A:L,12,0),0)</f>
        <v>57683703</v>
      </c>
      <c r="R79" s="41"/>
      <c r="S79" s="41">
        <f t="shared" si="5"/>
        <v>57683703</v>
      </c>
      <c r="T79" s="41"/>
      <c r="U79" s="86">
        <f>S79/درآمد!$F$12*100</f>
        <v>7.6634130116814319E-3</v>
      </c>
    </row>
    <row r="80" spans="1:21" ht="18.75">
      <c r="A80" s="12" t="s">
        <v>177</v>
      </c>
      <c r="C80" s="41">
        <f>IFERROR(VLOOKUP(A80,'درآمد سود سهام'!A:S,9,0),0)</f>
        <v>0</v>
      </c>
      <c r="D80" s="41"/>
      <c r="E80" s="41">
        <f>IFERROR(VLOOKUP(A80,'درآمد ناشی از تغییر قیمت اوراق'!A:Q,9,0),0)</f>
        <v>7583875213</v>
      </c>
      <c r="F80" s="41"/>
      <c r="G80" s="41">
        <f>IFERROR(VLOOKUP(A80,'درآمد  اختیار'!A:L,10,0),0)</f>
        <v>-8789701500</v>
      </c>
      <c r="H80" s="41"/>
      <c r="I80" s="41">
        <f t="shared" si="3"/>
        <v>-1205826287</v>
      </c>
      <c r="J80" s="41"/>
      <c r="K80" s="86">
        <f t="shared" si="4"/>
        <v>-0.24565467027727567</v>
      </c>
      <c r="L80" s="41"/>
      <c r="M80" s="41">
        <f>IFERROR(VLOOKUP(A80,'درآمد سود سهام'!A:S,15,0),0)</f>
        <v>0</v>
      </c>
      <c r="N80" s="41"/>
      <c r="O80" s="41">
        <f>IFERROR(VLOOKUP(A80,'درآمد ناشی از تغییر قیمت اوراق'!A:Q,17,0),0)</f>
        <v>0</v>
      </c>
      <c r="P80" s="41"/>
      <c r="Q80" s="41">
        <f>IFERROR(VLOOKUP(A80,'درآمد  اختیار'!A:L,12,0),0)</f>
        <v>-8668969170</v>
      </c>
      <c r="R80" s="41"/>
      <c r="S80" s="41">
        <f t="shared" si="5"/>
        <v>-8668969170</v>
      </c>
      <c r="T80" s="41"/>
      <c r="U80" s="86">
        <f>S80/درآمد!$F$12*100</f>
        <v>-1.1516925523183417</v>
      </c>
    </row>
    <row r="81" spans="3:21" ht="19.5" thickBot="1">
      <c r="C81" s="85">
        <f>SUM(C9:C80)</f>
        <v>17090970345</v>
      </c>
      <c r="D81" s="41"/>
      <c r="E81" s="85">
        <f>SUM(E9:E80)</f>
        <v>452372124361</v>
      </c>
      <c r="F81" s="41"/>
      <c r="G81" s="85">
        <f>SUM(G9:G80)</f>
        <v>9578383513</v>
      </c>
      <c r="H81" s="41"/>
      <c r="I81" s="85">
        <f>SUM(I9:I80)</f>
        <v>479041478219</v>
      </c>
      <c r="J81" s="41"/>
      <c r="K81" s="87">
        <f>SUM(K9:K80)</f>
        <v>97.591815379811109</v>
      </c>
      <c r="L81" s="41"/>
      <c r="M81" s="85">
        <f>SUM(M9:M80)</f>
        <v>110233165258</v>
      </c>
      <c r="N81" s="41"/>
      <c r="O81" s="85">
        <f>SUM(O9:O80)</f>
        <v>532614249665</v>
      </c>
      <c r="P81" s="41"/>
      <c r="Q81" s="85">
        <f>SUM(Q9:Q80)</f>
        <v>70297206216</v>
      </c>
      <c r="R81" s="41"/>
      <c r="S81" s="85">
        <f>SUM(S9:S80)</f>
        <v>713144621139</v>
      </c>
      <c r="T81" s="41"/>
      <c r="U81" s="87">
        <f>SUM(U9:U80)</f>
        <v>94.742908041934101</v>
      </c>
    </row>
    <row r="82" spans="3:21" ht="13.5" thickTop="1"/>
    <row r="83" spans="3:21">
      <c r="G83" s="38"/>
      <c r="I83" s="65"/>
    </row>
    <row r="84" spans="3:21">
      <c r="C84" s="45"/>
      <c r="E84" s="45"/>
      <c r="G84" s="45"/>
      <c r="I84" s="65"/>
      <c r="M84" s="45"/>
      <c r="O84" s="45"/>
      <c r="Q84" s="38"/>
    </row>
    <row r="85" spans="3:21">
      <c r="C85" s="38"/>
      <c r="E85" s="38"/>
      <c r="G85" s="45"/>
      <c r="I85" s="65"/>
      <c r="M85" s="38"/>
      <c r="O85" s="38"/>
      <c r="Q85" s="45"/>
    </row>
    <row r="86" spans="3:21">
      <c r="C86" s="45"/>
      <c r="E86" s="45"/>
      <c r="G86" s="45"/>
      <c r="M86" s="45"/>
      <c r="O86" s="45"/>
      <c r="Q86" s="45"/>
    </row>
    <row r="87" spans="3:21">
      <c r="I87" s="117"/>
    </row>
    <row r="89" spans="3:21">
      <c r="I89" s="117"/>
    </row>
  </sheetData>
  <mergeCells count="8">
    <mergeCell ref="I7:K7"/>
    <mergeCell ref="S7:U7"/>
    <mergeCell ref="A1:U1"/>
    <mergeCell ref="A2:U2"/>
    <mergeCell ref="A3:U3"/>
    <mergeCell ref="A5:U5"/>
    <mergeCell ref="C6:K6"/>
    <mergeCell ref="M6:U6"/>
  </mergeCells>
  <conditionalFormatting sqref="A9:A80">
    <cfRule type="duplicateValues" dxfId="10" priority="230"/>
    <cfRule type="duplicateValues" dxfId="9" priority="231"/>
    <cfRule type="duplicateValues" dxfId="8" priority="232"/>
    <cfRule type="duplicateValues" dxfId="7" priority="233"/>
  </conditionalFormatting>
  <pageMargins left="0.39" right="0.39" top="0.39" bottom="0.39" header="0" footer="0"/>
  <pageSetup scale="62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13"/>
  <sheetViews>
    <sheetView rightToLeft="1" view="pageBreakPreview" zoomScale="154" zoomScaleNormal="100" zoomScaleSheetLayoutView="154" workbookViewId="0">
      <selection activeCell="E10" sqref="E10"/>
    </sheetView>
  </sheetViews>
  <sheetFormatPr defaultRowHeight="12.75"/>
  <cols>
    <col min="1" max="1" width="29.7109375" bestFit="1" customWidth="1"/>
    <col min="2" max="2" width="1.28515625" customWidth="1"/>
    <col min="3" max="3" width="15.5703125" bestFit="1" customWidth="1"/>
    <col min="4" max="4" width="1.28515625" customWidth="1"/>
    <col min="5" max="5" width="15.7109375" bestFit="1" customWidth="1"/>
    <col min="6" max="6" width="1.28515625" customWidth="1"/>
    <col min="7" max="7" width="13.5703125" bestFit="1" customWidth="1"/>
    <col min="8" max="8" width="1.28515625" customWidth="1"/>
    <col min="9" max="9" width="15.85546875" bestFit="1" customWidth="1"/>
    <col min="10" max="10" width="1.28515625" customWidth="1"/>
    <col min="11" max="11" width="15.5703125" bestFit="1" customWidth="1"/>
    <col min="12" max="12" width="1.28515625" customWidth="1"/>
    <col min="13" max="13" width="15.7109375" bestFit="1" customWidth="1"/>
    <col min="14" max="14" width="1.28515625" customWidth="1"/>
    <col min="15" max="15" width="16.140625" bestFit="1" customWidth="1"/>
    <col min="16" max="16" width="1.28515625" customWidth="1"/>
    <col min="17" max="17" width="15.85546875" bestFit="1" customWidth="1"/>
    <col min="18" max="18" width="0.28515625" customWidth="1"/>
  </cols>
  <sheetData>
    <row r="1" spans="1:17" ht="29.1" customHeight="1">
      <c r="A1" s="120" t="str">
        <f>سهام!A1</f>
        <v>صندوق سرمایه‌گذاری افق دماوند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</row>
    <row r="2" spans="1:17" ht="21.75" customHeight="1">
      <c r="A2" s="120" t="s">
        <v>57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</row>
    <row r="3" spans="1:17" ht="21.75" customHeight="1">
      <c r="A3" s="120" t="str">
        <f>سهام!A3</f>
        <v>برای ماه منتهی به 1405/05/31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</row>
    <row r="4" spans="1:17" ht="14.45" customHeight="1"/>
    <row r="5" spans="1:17" ht="14.45" customHeight="1">
      <c r="A5" s="121" t="s">
        <v>125</v>
      </c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</row>
    <row r="6" spans="1:17" ht="14.45" customHeight="1">
      <c r="C6" s="122" t="s">
        <v>72</v>
      </c>
      <c r="D6" s="122"/>
      <c r="E6" s="122"/>
      <c r="F6" s="122"/>
      <c r="G6" s="122"/>
      <c r="H6" s="122"/>
      <c r="I6" s="122"/>
      <c r="K6" s="122" t="s">
        <v>73</v>
      </c>
      <c r="L6" s="122"/>
      <c r="M6" s="122"/>
      <c r="N6" s="122"/>
      <c r="O6" s="122"/>
      <c r="P6" s="122"/>
      <c r="Q6" s="122"/>
    </row>
    <row r="7" spans="1:17" ht="14.45" customHeight="1">
      <c r="C7" s="3"/>
      <c r="D7" s="3"/>
      <c r="E7" s="3"/>
      <c r="F7" s="3"/>
      <c r="G7" s="3"/>
      <c r="H7" s="3"/>
      <c r="I7" s="3"/>
      <c r="K7" s="3"/>
      <c r="L7" s="3"/>
      <c r="M7" s="3"/>
      <c r="N7" s="3"/>
      <c r="O7" s="3"/>
      <c r="P7" s="3"/>
      <c r="Q7" s="3"/>
    </row>
    <row r="8" spans="1:17" ht="14.45" customHeight="1">
      <c r="A8" s="21" t="s">
        <v>79</v>
      </c>
      <c r="C8" s="2" t="s">
        <v>80</v>
      </c>
      <c r="E8" s="2" t="s">
        <v>76</v>
      </c>
      <c r="G8" s="2" t="s">
        <v>77</v>
      </c>
      <c r="I8" s="2" t="s">
        <v>36</v>
      </c>
      <c r="K8" s="2" t="s">
        <v>80</v>
      </c>
      <c r="M8" s="2" t="s">
        <v>76</v>
      </c>
      <c r="O8" s="2" t="s">
        <v>77</v>
      </c>
      <c r="Q8" s="2" t="s">
        <v>36</v>
      </c>
    </row>
    <row r="9" spans="1:17" ht="21.75" customHeight="1">
      <c r="A9" s="12" t="s">
        <v>49</v>
      </c>
      <c r="C9" s="47">
        <f>VLOOKUP(A9,'سود اوراق بهادار'!A:Q,7,0)</f>
        <v>10822375191</v>
      </c>
      <c r="D9" s="43"/>
      <c r="E9" s="47">
        <f>'درآمد ناشی از تغییر قیمت اوراق'!I56</f>
        <v>637926862</v>
      </c>
      <c r="F9" s="43"/>
      <c r="G9" s="48">
        <f>'درآمد ناشی از فروش'!I34</f>
        <v>-316298737</v>
      </c>
      <c r="H9" s="43"/>
      <c r="I9" s="47">
        <f>C9+E9+G9</f>
        <v>11144003316</v>
      </c>
      <c r="J9" s="43"/>
      <c r="K9" s="47">
        <f>'سود اوراق بهادار'!Q8</f>
        <v>38219817098</v>
      </c>
      <c r="L9" s="43"/>
      <c r="M9" s="48">
        <v>0</v>
      </c>
      <c r="N9" s="43"/>
      <c r="O9" s="48">
        <f>'درآمد ناشی از فروش'!Q34</f>
        <v>-226096875</v>
      </c>
      <c r="P9" s="43"/>
      <c r="Q9" s="47">
        <f>K9+M9+O9</f>
        <v>37993720223</v>
      </c>
    </row>
    <row r="10" spans="1:17" ht="21.75" customHeight="1" thickBot="1">
      <c r="A10" s="22"/>
      <c r="C10" s="49">
        <f>SUM(C9:C9)</f>
        <v>10822375191</v>
      </c>
      <c r="D10" s="43"/>
      <c r="E10" s="42">
        <f>SUM(E9:E9)</f>
        <v>637926862</v>
      </c>
      <c r="F10" s="43"/>
      <c r="G10" s="42">
        <f>SUM(G9:G9)</f>
        <v>-316298737</v>
      </c>
      <c r="H10" s="43"/>
      <c r="I10" s="42">
        <f>SUM(I9:I9)</f>
        <v>11144003316</v>
      </c>
      <c r="J10" s="43"/>
      <c r="K10" s="42">
        <f>SUM(K9:K9)</f>
        <v>38219817098</v>
      </c>
      <c r="L10" s="43"/>
      <c r="M10" s="42">
        <f>SUM(M9:M9)</f>
        <v>0</v>
      </c>
      <c r="N10" s="43"/>
      <c r="O10" s="42">
        <f>SUM(O9:O9)</f>
        <v>-226096875</v>
      </c>
      <c r="P10" s="43"/>
      <c r="Q10" s="42">
        <f>SUM(Q9:Q9)</f>
        <v>37993720223</v>
      </c>
    </row>
    <row r="11" spans="1:17" ht="13.5" thickTop="1">
      <c r="C11" s="38"/>
      <c r="E11" s="38"/>
      <c r="G11" s="38"/>
      <c r="I11" s="45"/>
      <c r="K11" s="38"/>
      <c r="M11" s="38"/>
      <c r="O11" s="38"/>
      <c r="Q11" s="45"/>
    </row>
    <row r="12" spans="1:17">
      <c r="C12" s="38"/>
      <c r="E12" s="38"/>
      <c r="G12" s="38"/>
      <c r="K12" s="38"/>
      <c r="M12" s="38"/>
      <c r="O12" s="38"/>
    </row>
    <row r="13" spans="1:17">
      <c r="K13" s="45"/>
      <c r="M13" s="45"/>
      <c r="O13" s="45"/>
    </row>
  </sheetData>
  <mergeCells count="6">
    <mergeCell ref="A5:Q5"/>
    <mergeCell ref="C6:I6"/>
    <mergeCell ref="K6:Q6"/>
    <mergeCell ref="A1:Q1"/>
    <mergeCell ref="A2:Q2"/>
    <mergeCell ref="A3:Q3"/>
  </mergeCells>
  <pageMargins left="0.39" right="0.39" top="0.39" bottom="0.39" header="0" footer="0"/>
  <pageSetup scale="81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B6936-1209-48B8-8C2B-2ACED299F891}">
  <dimension ref="A1:Q13"/>
  <sheetViews>
    <sheetView rightToLeft="1" view="pageBreakPreview" zoomScaleNormal="100" zoomScaleSheetLayoutView="100" workbookViewId="0">
      <selection activeCell="G26" sqref="G26"/>
    </sheetView>
  </sheetViews>
  <sheetFormatPr defaultRowHeight="15"/>
  <cols>
    <col min="1" max="1" width="17.42578125" style="50" customWidth="1"/>
    <col min="2" max="2" width="9.28515625" style="50" bestFit="1" customWidth="1"/>
    <col min="3" max="3" width="39.28515625" style="50" bestFit="1" customWidth="1"/>
    <col min="4" max="4" width="18.42578125" style="50" bestFit="1" customWidth="1"/>
    <col min="5" max="5" width="17.42578125" style="50" bestFit="1" customWidth="1"/>
    <col min="6" max="6" width="16.5703125" style="50" bestFit="1" customWidth="1"/>
    <col min="7" max="7" width="9.42578125" style="50" bestFit="1" customWidth="1"/>
    <col min="8" max="8" width="15" style="50" customWidth="1"/>
    <col min="9" max="11" width="9.140625" style="50"/>
    <col min="12" max="12" width="15.28515625" style="50" bestFit="1" customWidth="1"/>
    <col min="13" max="13" width="9.140625" style="50"/>
    <col min="14" max="14" width="15.28515625" style="50" bestFit="1" customWidth="1"/>
    <col min="15" max="16384" width="9.140625" style="50"/>
  </cols>
  <sheetData>
    <row r="1" spans="1:17" ht="26.25" customHeight="1">
      <c r="A1" s="129" t="str">
        <f>'درآمد ناشی از تغییر قیمت اوراق'!A1:Q1</f>
        <v>صندوق سرمایه‌گذاری افق دماوند</v>
      </c>
      <c r="B1" s="129"/>
      <c r="C1" s="129"/>
      <c r="D1" s="129"/>
      <c r="E1" s="129"/>
      <c r="F1" s="129"/>
      <c r="G1" s="129"/>
      <c r="H1" s="129"/>
      <c r="I1" s="63"/>
      <c r="J1" s="63"/>
      <c r="K1" s="63"/>
      <c r="L1" s="63"/>
      <c r="M1" s="63"/>
      <c r="N1" s="63"/>
      <c r="O1" s="63"/>
      <c r="P1" s="63"/>
      <c r="Q1" s="63"/>
    </row>
    <row r="2" spans="1:17" ht="26.25" customHeight="1">
      <c r="A2" s="129" t="s">
        <v>57</v>
      </c>
      <c r="B2" s="129"/>
      <c r="C2" s="129"/>
      <c r="D2" s="129"/>
      <c r="E2" s="129"/>
      <c r="F2" s="129"/>
      <c r="G2" s="129"/>
      <c r="H2" s="129"/>
      <c r="I2" s="63"/>
      <c r="J2" s="63"/>
      <c r="K2" s="63"/>
      <c r="L2" s="63"/>
      <c r="M2" s="63"/>
      <c r="N2" s="63"/>
      <c r="O2" s="63"/>
      <c r="P2" s="63"/>
      <c r="Q2" s="63"/>
    </row>
    <row r="3" spans="1:17" ht="25.5">
      <c r="A3" s="129" t="str">
        <f>سهام!A3</f>
        <v>برای ماه منتهی به 1405/05/31</v>
      </c>
      <c r="B3" s="129"/>
      <c r="C3" s="129"/>
      <c r="D3" s="129"/>
      <c r="E3" s="129"/>
      <c r="F3" s="129"/>
      <c r="G3" s="129"/>
      <c r="H3" s="129"/>
      <c r="I3" s="63"/>
      <c r="J3" s="63"/>
      <c r="K3" s="63"/>
      <c r="L3" s="63"/>
      <c r="M3" s="63"/>
      <c r="N3" s="63"/>
      <c r="O3" s="63"/>
      <c r="P3" s="63"/>
      <c r="Q3" s="63"/>
    </row>
    <row r="6" spans="1:17" ht="21">
      <c r="A6" s="138" t="s">
        <v>131</v>
      </c>
      <c r="B6" s="139"/>
      <c r="C6" s="139"/>
      <c r="D6" s="139"/>
      <c r="E6" s="139"/>
      <c r="F6" s="139"/>
      <c r="G6" s="139"/>
      <c r="H6" s="56"/>
    </row>
    <row r="7" spans="1:17" ht="15.75" thickBot="1">
      <c r="A7" s="56"/>
      <c r="B7" s="56"/>
      <c r="C7" s="56"/>
      <c r="D7" s="56"/>
      <c r="E7" s="56"/>
      <c r="F7" s="56"/>
      <c r="G7" s="56"/>
      <c r="H7" s="56"/>
    </row>
    <row r="8" spans="1:17" ht="51.75">
      <c r="A8" s="62" t="s">
        <v>82</v>
      </c>
      <c r="B8" s="61" t="s">
        <v>83</v>
      </c>
      <c r="C8" s="61" t="s">
        <v>84</v>
      </c>
      <c r="D8" s="61" t="s">
        <v>222</v>
      </c>
      <c r="E8" s="61" t="s">
        <v>85</v>
      </c>
      <c r="F8" s="60" t="s">
        <v>81</v>
      </c>
      <c r="G8" s="60" t="s">
        <v>130</v>
      </c>
      <c r="H8" s="60" t="s">
        <v>129</v>
      </c>
    </row>
    <row r="9" spans="1:17" ht="18">
      <c r="A9" s="59" t="s">
        <v>128</v>
      </c>
      <c r="B9" s="59" t="s">
        <v>86</v>
      </c>
      <c r="C9" s="59" t="s">
        <v>132</v>
      </c>
      <c r="D9" s="58">
        <v>175000</v>
      </c>
      <c r="E9" s="58">
        <f>D9*1000000</f>
        <v>175000000000</v>
      </c>
      <c r="F9" s="58">
        <v>2854093553</v>
      </c>
      <c r="G9" s="58">
        <v>23</v>
      </c>
      <c r="H9" s="57" t="s">
        <v>133</v>
      </c>
    </row>
    <row r="10" spans="1:17" ht="18.75" thickBot="1">
      <c r="A10" s="56"/>
      <c r="B10" s="56"/>
      <c r="C10" s="56"/>
      <c r="D10" s="55">
        <f>SUM(D9)</f>
        <v>175000</v>
      </c>
      <c r="E10" s="54">
        <f>SUM(E9)</f>
        <v>175000000000</v>
      </c>
      <c r="F10" s="54">
        <f>SUM(F9)</f>
        <v>2854093553</v>
      </c>
      <c r="G10" s="53"/>
      <c r="H10" s="52"/>
    </row>
    <row r="11" spans="1:17" ht="15.75" thickTop="1"/>
    <row r="13" spans="1:17">
      <c r="G13" s="51"/>
    </row>
  </sheetData>
  <mergeCells count="4">
    <mergeCell ref="A1:H1"/>
    <mergeCell ref="A2:H2"/>
    <mergeCell ref="A3:H3"/>
    <mergeCell ref="A6:G6"/>
  </mergeCells>
  <pageMargins left="0.7" right="0.7" top="0.75" bottom="0.75" header="0.3" footer="0.3"/>
  <pageSetup scale="6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14"/>
  <sheetViews>
    <sheetView rightToLeft="1" view="pageBreakPreview" zoomScaleNormal="100" zoomScaleSheetLayoutView="100" workbookViewId="0">
      <selection activeCell="E33" sqref="E33"/>
    </sheetView>
  </sheetViews>
  <sheetFormatPr defaultRowHeight="12.75"/>
  <cols>
    <col min="1" max="1" width="24.140625" bestFit="1" customWidth="1"/>
    <col min="2" max="2" width="1.28515625" customWidth="1"/>
    <col min="3" max="3" width="19.42578125" customWidth="1"/>
    <col min="4" max="4" width="1.28515625" customWidth="1"/>
    <col min="5" max="5" width="20.7109375" customWidth="1"/>
    <col min="6" max="6" width="1.28515625" customWidth="1"/>
    <col min="7" max="7" width="19.42578125" customWidth="1"/>
    <col min="8" max="8" width="1.28515625" customWidth="1"/>
    <col min="9" max="9" width="19.42578125" customWidth="1"/>
    <col min="10" max="10" width="0.28515625" customWidth="1"/>
  </cols>
  <sheetData>
    <row r="1" spans="1:9" ht="29.1" customHeight="1">
      <c r="A1" s="120" t="str">
        <f>سهام!A1</f>
        <v>صندوق سرمایه‌گذاری افق دماوند</v>
      </c>
      <c r="B1" s="120"/>
      <c r="C1" s="120"/>
      <c r="D1" s="120"/>
      <c r="E1" s="120"/>
      <c r="F1" s="120"/>
      <c r="G1" s="120"/>
      <c r="H1" s="120"/>
      <c r="I1" s="120"/>
    </row>
    <row r="2" spans="1:9" ht="21.75" customHeight="1">
      <c r="A2" s="120" t="s">
        <v>57</v>
      </c>
      <c r="B2" s="120"/>
      <c r="C2" s="120"/>
      <c r="D2" s="120"/>
      <c r="E2" s="120"/>
      <c r="F2" s="120"/>
      <c r="G2" s="120"/>
      <c r="H2" s="120"/>
      <c r="I2" s="120"/>
    </row>
    <row r="3" spans="1:9" ht="21.75" customHeight="1">
      <c r="A3" s="120" t="str">
        <f>سهام!A3</f>
        <v>برای ماه منتهی به 1405/05/31</v>
      </c>
      <c r="B3" s="120"/>
      <c r="C3" s="120"/>
      <c r="D3" s="120"/>
      <c r="E3" s="120"/>
      <c r="F3" s="120"/>
      <c r="G3" s="120"/>
      <c r="H3" s="120"/>
      <c r="I3" s="120"/>
    </row>
    <row r="4" spans="1:9" ht="14.45" customHeight="1"/>
    <row r="5" spans="1:9" ht="14.45" customHeight="1">
      <c r="A5" s="121" t="s">
        <v>126</v>
      </c>
      <c r="B5" s="121"/>
      <c r="C5" s="121"/>
      <c r="D5" s="121"/>
      <c r="E5" s="121"/>
      <c r="F5" s="121"/>
      <c r="G5" s="121"/>
      <c r="H5" s="121"/>
      <c r="I5" s="121"/>
    </row>
    <row r="6" spans="1:9" ht="14.45" customHeight="1">
      <c r="C6" s="122" t="s">
        <v>72</v>
      </c>
      <c r="D6" s="122"/>
      <c r="E6" s="122"/>
      <c r="G6" s="122" t="s">
        <v>73</v>
      </c>
      <c r="H6" s="122"/>
      <c r="I6" s="122"/>
    </row>
    <row r="7" spans="1:9" ht="36.4" customHeight="1">
      <c r="A7" s="21" t="s">
        <v>87</v>
      </c>
      <c r="C7" s="8" t="s">
        <v>88</v>
      </c>
      <c r="D7" s="3"/>
      <c r="E7" s="8" t="s">
        <v>89</v>
      </c>
      <c r="G7" s="8" t="s">
        <v>88</v>
      </c>
      <c r="H7" s="3"/>
      <c r="I7" s="8" t="s">
        <v>89</v>
      </c>
    </row>
    <row r="8" spans="1:9" ht="21.75" customHeight="1">
      <c r="A8" s="13" t="s">
        <v>123</v>
      </c>
      <c r="C8" s="33">
        <f>'سود سپرده بانکی'!C8</f>
        <v>0</v>
      </c>
      <c r="D8" s="31"/>
      <c r="E8" s="35">
        <f>C8/$C$12*100</f>
        <v>0</v>
      </c>
      <c r="F8" s="31"/>
      <c r="G8" s="33">
        <f>'سود سپرده بانکی'!I8</f>
        <v>245778</v>
      </c>
      <c r="H8" s="31"/>
      <c r="I8" s="35">
        <f>G8/$G$12*100</f>
        <v>17.134718269698674</v>
      </c>
    </row>
    <row r="9" spans="1:9" ht="21.75" customHeight="1">
      <c r="A9" s="12" t="s">
        <v>121</v>
      </c>
      <c r="C9" s="36">
        <f>'سود سپرده بانکی'!C9</f>
        <v>33018</v>
      </c>
      <c r="D9" s="31"/>
      <c r="E9" s="35">
        <f>C9/$C$12*100</f>
        <v>91.066552665692143</v>
      </c>
      <c r="F9" s="31"/>
      <c r="G9" s="36">
        <f>'سود سپرده بانکی'!I9</f>
        <v>1183324</v>
      </c>
      <c r="H9" s="31"/>
      <c r="I9" s="35">
        <f t="shared" ref="I9:I11" si="0">G9/$G$12*100</f>
        <v>82.496901113089507</v>
      </c>
    </row>
    <row r="10" spans="1:9" ht="21.75" customHeight="1">
      <c r="A10" s="12" t="s">
        <v>122</v>
      </c>
      <c r="C10" s="36">
        <f>'سود سپرده بانکی'!C10</f>
        <v>0</v>
      </c>
      <c r="D10" s="31"/>
      <c r="E10" s="35">
        <f>C10/$C$12*100</f>
        <v>0</v>
      </c>
      <c r="F10" s="31"/>
      <c r="G10" s="36">
        <f>'سود سپرده بانکی'!I10</f>
        <v>2045</v>
      </c>
      <c r="H10" s="31"/>
      <c r="I10" s="35">
        <f t="shared" si="0"/>
        <v>0.14256971275514402</v>
      </c>
    </row>
    <row r="11" spans="1:9" ht="21.75" customHeight="1">
      <c r="A11" s="12" t="s">
        <v>220</v>
      </c>
      <c r="C11" s="36">
        <f>'سود سپرده بانکی'!C11</f>
        <v>3239</v>
      </c>
      <c r="D11" s="31"/>
      <c r="E11" s="35">
        <f>C11/$C$12*100</f>
        <v>8.9334473343078571</v>
      </c>
      <c r="F11" s="31"/>
      <c r="G11" s="36">
        <f>'سود سپرده بانکی'!I11</f>
        <v>3239</v>
      </c>
      <c r="H11" s="31"/>
      <c r="I11" s="35">
        <f t="shared" si="0"/>
        <v>0.22581090445668042</v>
      </c>
    </row>
    <row r="12" spans="1:9" ht="21.75" customHeight="1" thickBot="1">
      <c r="A12" s="22"/>
      <c r="C12" s="37">
        <f>SUM(C8:C11)</f>
        <v>36257</v>
      </c>
      <c r="D12" s="31"/>
      <c r="E12" s="37">
        <f>SUM(E8:E11)</f>
        <v>100</v>
      </c>
      <c r="F12" s="31"/>
      <c r="G12" s="37">
        <f>SUM(G8:G11)</f>
        <v>1434386</v>
      </c>
      <c r="H12" s="31"/>
      <c r="I12" s="37">
        <f>SUM(I8:I10)</f>
        <v>99.774189095543335</v>
      </c>
    </row>
    <row r="13" spans="1:9" ht="13.5" thickTop="1">
      <c r="C13" s="38"/>
      <c r="G13" s="38"/>
    </row>
    <row r="14" spans="1:9">
      <c r="C14" s="38"/>
      <c r="G14" s="38"/>
    </row>
  </sheetData>
  <mergeCells count="6">
    <mergeCell ref="A5:I5"/>
    <mergeCell ref="C6:E6"/>
    <mergeCell ref="G6:I6"/>
    <mergeCell ref="A1:I1"/>
    <mergeCell ref="A2:I2"/>
    <mergeCell ref="A3:I3"/>
  </mergeCells>
  <pageMargins left="0.39" right="0.39" top="0.39" bottom="0.39" header="0" footer="0"/>
  <pageSetup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H15"/>
  <sheetViews>
    <sheetView rightToLeft="1" view="pageBreakPreview" zoomScale="130" zoomScaleNormal="100" zoomScaleSheetLayoutView="130" workbookViewId="0">
      <selection activeCell="C9" sqref="C9"/>
    </sheetView>
  </sheetViews>
  <sheetFormatPr defaultRowHeight="12.75"/>
  <cols>
    <col min="1" max="1" width="41.5703125" customWidth="1"/>
    <col min="2" max="2" width="1.28515625" customWidth="1"/>
    <col min="3" max="3" width="19.42578125" customWidth="1"/>
    <col min="4" max="4" width="1.28515625" customWidth="1"/>
    <col min="5" max="5" width="19.42578125" customWidth="1"/>
    <col min="6" max="6" width="0.28515625" customWidth="1"/>
  </cols>
  <sheetData>
    <row r="1" spans="1:8" ht="29.1" customHeight="1">
      <c r="A1" s="120" t="str">
        <f>سهام!A1</f>
        <v>صندوق سرمایه‌گذاری افق دماوند</v>
      </c>
      <c r="B1" s="120"/>
      <c r="C1" s="120"/>
      <c r="D1" s="120"/>
      <c r="E1" s="120"/>
    </row>
    <row r="2" spans="1:8" ht="21.75" customHeight="1">
      <c r="A2" s="120" t="s">
        <v>57</v>
      </c>
      <c r="B2" s="120"/>
      <c r="C2" s="120"/>
      <c r="D2" s="120"/>
      <c r="E2" s="120"/>
    </row>
    <row r="3" spans="1:8" ht="21.75" customHeight="1">
      <c r="A3" s="120" t="str">
        <f>سهام!A3</f>
        <v>برای ماه منتهی به 1405/05/31</v>
      </c>
      <c r="B3" s="120"/>
      <c r="C3" s="120"/>
      <c r="D3" s="120"/>
      <c r="E3" s="120"/>
    </row>
    <row r="4" spans="1:8" ht="14.45" customHeight="1"/>
    <row r="5" spans="1:8" ht="29.1" customHeight="1">
      <c r="A5" s="121" t="s">
        <v>127</v>
      </c>
      <c r="B5" s="121"/>
      <c r="C5" s="121"/>
      <c r="D5" s="121"/>
      <c r="E5" s="121"/>
    </row>
    <row r="6" spans="1:8" ht="14.45" customHeight="1">
      <c r="C6" s="2" t="s">
        <v>72</v>
      </c>
      <c r="E6" s="2" t="s">
        <v>197</v>
      </c>
    </row>
    <row r="7" spans="1:8" ht="14.45" customHeight="1">
      <c r="A7" s="21" t="s">
        <v>71</v>
      </c>
      <c r="C7" s="4" t="s">
        <v>54</v>
      </c>
      <c r="E7" s="4" t="s">
        <v>54</v>
      </c>
    </row>
    <row r="8" spans="1:8" ht="21.75" customHeight="1">
      <c r="A8" s="28" t="s">
        <v>71</v>
      </c>
      <c r="B8" s="31"/>
      <c r="C8" s="36">
        <v>0</v>
      </c>
      <c r="D8" s="31"/>
      <c r="E8" s="36">
        <v>151318019</v>
      </c>
    </row>
    <row r="9" spans="1:8" ht="21.75" customHeight="1">
      <c r="A9" s="29" t="s">
        <v>90</v>
      </c>
      <c r="B9" s="31"/>
      <c r="C9" s="36">
        <v>676832042</v>
      </c>
      <c r="D9" s="31"/>
      <c r="E9" s="36">
        <v>1424477116</v>
      </c>
    </row>
    <row r="10" spans="1:8" ht="21.75" customHeight="1" thickBot="1">
      <c r="A10" s="22"/>
      <c r="B10" s="31"/>
      <c r="C10" s="68">
        <f>SUM(C8:C9)</f>
        <v>676832042</v>
      </c>
      <c r="D10" s="31"/>
      <c r="E10" s="68">
        <f>SUM(E8:E9)</f>
        <v>1575795135</v>
      </c>
    </row>
    <row r="11" spans="1:8" ht="13.5" thickTop="1">
      <c r="C11" s="38"/>
    </row>
    <row r="12" spans="1:8">
      <c r="C12" s="38"/>
      <c r="E12" s="38"/>
    </row>
    <row r="13" spans="1:8">
      <c r="C13" s="38"/>
    </row>
    <row r="15" spans="1:8">
      <c r="H15" t="s">
        <v>134</v>
      </c>
    </row>
  </sheetData>
  <mergeCells count="4">
    <mergeCell ref="A5:E5"/>
    <mergeCell ref="A1:E1"/>
    <mergeCell ref="A2:E2"/>
    <mergeCell ref="A3:E3"/>
  </mergeCells>
  <pageMargins left="0.39" right="0.39" top="0.39" bottom="0.39" header="0" footer="0"/>
  <pageSetup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36"/>
  <sheetViews>
    <sheetView rightToLeft="1" view="pageBreakPreview" topLeftCell="A28" zoomScale="112" zoomScaleNormal="100" zoomScaleSheetLayoutView="112" workbookViewId="0">
      <selection activeCell="A8" sqref="A8:A31"/>
    </sheetView>
  </sheetViews>
  <sheetFormatPr defaultRowHeight="12.75"/>
  <cols>
    <col min="1" max="1" width="27.42578125" bestFit="1" customWidth="1"/>
    <col min="2" max="2" width="1.28515625" customWidth="1"/>
    <col min="3" max="3" width="17.140625" bestFit="1" customWidth="1"/>
    <col min="4" max="4" width="1.28515625" customWidth="1"/>
    <col min="5" max="5" width="28.28515625" bestFit="1" customWidth="1"/>
    <col min="6" max="6" width="1.28515625" customWidth="1"/>
    <col min="7" max="7" width="19" bestFit="1" customWidth="1"/>
    <col min="8" max="8" width="1.28515625" customWidth="1"/>
    <col min="9" max="9" width="19.140625" bestFit="1" customWidth="1"/>
    <col min="10" max="10" width="1.28515625" customWidth="1"/>
    <col min="11" max="11" width="15.42578125" bestFit="1" customWidth="1"/>
    <col min="12" max="12" width="1.28515625" customWidth="1"/>
    <col min="13" max="13" width="20.140625" bestFit="1" customWidth="1"/>
    <col min="14" max="14" width="1.28515625" customWidth="1"/>
    <col min="15" max="15" width="19.140625" bestFit="1" customWidth="1"/>
    <col min="16" max="16" width="1.28515625" customWidth="1"/>
    <col min="17" max="17" width="15.28515625" bestFit="1" customWidth="1"/>
    <col min="18" max="18" width="1.28515625" customWidth="1"/>
    <col min="19" max="19" width="20.140625" bestFit="1" customWidth="1"/>
    <col min="20" max="20" width="0.28515625" customWidth="1"/>
    <col min="21" max="21" width="9.7109375" bestFit="1" customWidth="1"/>
  </cols>
  <sheetData>
    <row r="1" spans="1:19" ht="25.5">
      <c r="A1" s="120" t="str">
        <f>سهام!A1</f>
        <v>صندوق سرمایه‌گذاری افق دماوند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</row>
    <row r="2" spans="1:19" ht="25.5">
      <c r="A2" s="120" t="s">
        <v>57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</row>
    <row r="3" spans="1:19" ht="25.5">
      <c r="A3" s="120" t="str">
        <f>سهام!A3</f>
        <v>برای ماه منتهی به 1405/05/31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</row>
    <row r="5" spans="1:19" ht="24">
      <c r="A5" s="137" t="s">
        <v>75</v>
      </c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</row>
    <row r="6" spans="1:19" ht="21">
      <c r="A6" s="122" t="s">
        <v>37</v>
      </c>
      <c r="C6" s="122" t="s">
        <v>91</v>
      </c>
      <c r="D6" s="122"/>
      <c r="E6" s="122"/>
      <c r="F6" s="122"/>
      <c r="G6" s="122"/>
      <c r="I6" s="122" t="s">
        <v>72</v>
      </c>
      <c r="J6" s="122"/>
      <c r="K6" s="122"/>
      <c r="L6" s="122"/>
      <c r="M6" s="122"/>
      <c r="O6" s="122" t="s">
        <v>73</v>
      </c>
      <c r="P6" s="122"/>
      <c r="Q6" s="122"/>
      <c r="R6" s="122"/>
      <c r="S6" s="122"/>
    </row>
    <row r="7" spans="1:19" ht="21">
      <c r="A7" s="122"/>
      <c r="C7" s="8" t="s">
        <v>92</v>
      </c>
      <c r="D7" s="3"/>
      <c r="E7" s="8" t="s">
        <v>93</v>
      </c>
      <c r="F7" s="3"/>
      <c r="G7" s="8" t="s">
        <v>94</v>
      </c>
      <c r="I7" s="8" t="s">
        <v>95</v>
      </c>
      <c r="J7" s="3"/>
      <c r="K7" s="8" t="s">
        <v>96</v>
      </c>
      <c r="L7" s="3"/>
      <c r="M7" s="8" t="s">
        <v>97</v>
      </c>
      <c r="O7" s="8" t="s">
        <v>95</v>
      </c>
      <c r="P7" s="3"/>
      <c r="Q7" s="8" t="s">
        <v>96</v>
      </c>
      <c r="R7" s="3"/>
      <c r="S7" s="8" t="s">
        <v>97</v>
      </c>
    </row>
    <row r="8" spans="1:19" ht="18.75">
      <c r="A8" s="34" t="s">
        <v>24</v>
      </c>
      <c r="B8" s="31"/>
      <c r="C8" s="34" t="s">
        <v>197</v>
      </c>
      <c r="D8" s="31"/>
      <c r="E8" s="110">
        <v>198243</v>
      </c>
      <c r="F8" s="111"/>
      <c r="G8" s="110">
        <v>5500</v>
      </c>
      <c r="H8" s="89"/>
      <c r="I8" s="112">
        <v>1090336500</v>
      </c>
      <c r="J8" s="89"/>
      <c r="K8" s="112">
        <v>-77683008</v>
      </c>
      <c r="L8" s="89"/>
      <c r="M8" s="112">
        <f>I8+K8</f>
        <v>1012653492</v>
      </c>
      <c r="N8" s="89"/>
      <c r="O8" s="110">
        <v>1090336500</v>
      </c>
      <c r="P8" s="89"/>
      <c r="Q8" s="112">
        <v>-77683008</v>
      </c>
      <c r="R8" s="89"/>
      <c r="S8" s="112">
        <f>O8+Q8</f>
        <v>1012653492</v>
      </c>
    </row>
    <row r="9" spans="1:19" ht="18.75">
      <c r="A9" s="34" t="s">
        <v>167</v>
      </c>
      <c r="B9" s="31"/>
      <c r="C9" s="34" t="s">
        <v>157</v>
      </c>
      <c r="D9" s="31"/>
      <c r="E9" s="110">
        <v>5280000</v>
      </c>
      <c r="F9" s="111"/>
      <c r="G9" s="110">
        <v>450</v>
      </c>
      <c r="H9" s="89"/>
      <c r="I9" s="112">
        <v>2376000000</v>
      </c>
      <c r="J9" s="89"/>
      <c r="K9" s="112">
        <v>-139404255</v>
      </c>
      <c r="L9" s="89"/>
      <c r="M9" s="112">
        <f t="shared" ref="M9:M31" si="0">I9+K9</f>
        <v>2236595745</v>
      </c>
      <c r="N9" s="89"/>
      <c r="O9" s="110">
        <v>2376000000</v>
      </c>
      <c r="P9" s="89"/>
      <c r="Q9" s="112">
        <v>-139404255</v>
      </c>
      <c r="R9" s="89"/>
      <c r="S9" s="112">
        <f t="shared" ref="S9:S31" si="1">O9+Q9</f>
        <v>2236595745</v>
      </c>
    </row>
    <row r="10" spans="1:19" ht="18.75">
      <c r="A10" s="34" t="s">
        <v>17</v>
      </c>
      <c r="B10" s="31"/>
      <c r="C10" s="34" t="s">
        <v>182</v>
      </c>
      <c r="D10" s="31"/>
      <c r="E10" s="110">
        <v>1019446</v>
      </c>
      <c r="F10" s="111"/>
      <c r="G10" s="110">
        <v>6928</v>
      </c>
      <c r="H10" s="89"/>
      <c r="I10" s="112">
        <v>0</v>
      </c>
      <c r="J10" s="89"/>
      <c r="K10" s="112">
        <v>0</v>
      </c>
      <c r="L10" s="89"/>
      <c r="M10" s="112">
        <f t="shared" si="0"/>
        <v>0</v>
      </c>
      <c r="N10" s="89"/>
      <c r="O10" s="110">
        <v>7062721888</v>
      </c>
      <c r="P10" s="89"/>
      <c r="Q10" s="112">
        <v>-202060573</v>
      </c>
      <c r="R10" s="89"/>
      <c r="S10" s="112">
        <f t="shared" si="1"/>
        <v>6860661315</v>
      </c>
    </row>
    <row r="11" spans="1:19" ht="18.75">
      <c r="A11" s="34" t="s">
        <v>22</v>
      </c>
      <c r="B11" s="31"/>
      <c r="C11" s="34" t="s">
        <v>183</v>
      </c>
      <c r="D11" s="31"/>
      <c r="E11" s="110">
        <v>375619</v>
      </c>
      <c r="F11" s="111"/>
      <c r="G11" s="110">
        <v>850</v>
      </c>
      <c r="H11" s="89"/>
      <c r="I11" s="112">
        <v>0</v>
      </c>
      <c r="J11" s="89"/>
      <c r="K11" s="112">
        <v>0</v>
      </c>
      <c r="L11" s="89"/>
      <c r="M11" s="112">
        <f t="shared" si="0"/>
        <v>0</v>
      </c>
      <c r="N11" s="89"/>
      <c r="O11" s="110">
        <v>319276150</v>
      </c>
      <c r="P11" s="89"/>
      <c r="Q11" s="112">
        <v>-9957518</v>
      </c>
      <c r="R11" s="89"/>
      <c r="S11" s="112">
        <f t="shared" si="1"/>
        <v>309318632</v>
      </c>
    </row>
    <row r="12" spans="1:19" ht="18.75">
      <c r="A12" s="34" t="s">
        <v>161</v>
      </c>
      <c r="B12" s="31"/>
      <c r="C12" s="34" t="s">
        <v>184</v>
      </c>
      <c r="D12" s="31"/>
      <c r="E12" s="110">
        <v>829410</v>
      </c>
      <c r="F12" s="111"/>
      <c r="G12" s="110">
        <v>740</v>
      </c>
      <c r="H12" s="89"/>
      <c r="I12" s="112">
        <v>0</v>
      </c>
      <c r="J12" s="89"/>
      <c r="K12" s="112">
        <v>0</v>
      </c>
      <c r="L12" s="89"/>
      <c r="M12" s="112">
        <f t="shared" si="0"/>
        <v>0</v>
      </c>
      <c r="N12" s="89"/>
      <c r="O12" s="110">
        <v>613763400</v>
      </c>
      <c r="P12" s="89"/>
      <c r="Q12" s="112">
        <v>-6653262</v>
      </c>
      <c r="R12" s="89"/>
      <c r="S12" s="112">
        <f t="shared" si="1"/>
        <v>607110138</v>
      </c>
    </row>
    <row r="13" spans="1:19" ht="18.75">
      <c r="A13" s="34" t="s">
        <v>14</v>
      </c>
      <c r="B13" s="31"/>
      <c r="C13" s="34" t="s">
        <v>157</v>
      </c>
      <c r="D13" s="31"/>
      <c r="E13" s="110">
        <v>2983927</v>
      </c>
      <c r="F13" s="111"/>
      <c r="G13" s="110">
        <v>485</v>
      </c>
      <c r="H13" s="89"/>
      <c r="I13" s="112">
        <v>1447204595</v>
      </c>
      <c r="J13" s="89"/>
      <c r="K13" s="112">
        <v>-30089432</v>
      </c>
      <c r="L13" s="89"/>
      <c r="M13" s="112">
        <f t="shared" si="0"/>
        <v>1417115163</v>
      </c>
      <c r="N13" s="89"/>
      <c r="O13" s="110">
        <v>1447204595</v>
      </c>
      <c r="P13" s="89"/>
      <c r="Q13" s="112">
        <v>-30089432</v>
      </c>
      <c r="R13" s="89"/>
      <c r="S13" s="112">
        <f t="shared" si="1"/>
        <v>1417115163</v>
      </c>
    </row>
    <row r="14" spans="1:19" ht="18.75">
      <c r="A14" s="34" t="s">
        <v>16</v>
      </c>
      <c r="B14" s="31"/>
      <c r="C14" s="34" t="s">
        <v>185</v>
      </c>
      <c r="D14" s="31"/>
      <c r="E14" s="110">
        <v>138131</v>
      </c>
      <c r="F14" s="111"/>
      <c r="G14" s="110">
        <v>7500</v>
      </c>
      <c r="H14" s="89"/>
      <c r="I14" s="112">
        <v>0</v>
      </c>
      <c r="J14" s="89"/>
      <c r="K14" s="112">
        <v>0</v>
      </c>
      <c r="L14" s="89"/>
      <c r="M14" s="112">
        <f t="shared" si="0"/>
        <v>0</v>
      </c>
      <c r="N14" s="89"/>
      <c r="O14" s="110">
        <v>1035982500</v>
      </c>
      <c r="P14" s="89"/>
      <c r="Q14" s="112">
        <v>0</v>
      </c>
      <c r="R14" s="89"/>
      <c r="S14" s="112">
        <f t="shared" si="1"/>
        <v>1035982500</v>
      </c>
    </row>
    <row r="15" spans="1:19" ht="18.75">
      <c r="A15" s="34" t="s">
        <v>150</v>
      </c>
      <c r="B15" s="31"/>
      <c r="C15" s="34" t="s">
        <v>186</v>
      </c>
      <c r="D15" s="31"/>
      <c r="E15" s="110">
        <v>3373729</v>
      </c>
      <c r="F15" s="111"/>
      <c r="G15" s="110">
        <v>1100</v>
      </c>
      <c r="H15" s="89"/>
      <c r="I15" s="112">
        <v>0</v>
      </c>
      <c r="J15" s="89"/>
      <c r="K15" s="112">
        <v>0</v>
      </c>
      <c r="L15" s="89"/>
      <c r="M15" s="112">
        <f t="shared" si="0"/>
        <v>0</v>
      </c>
      <c r="N15" s="89"/>
      <c r="O15" s="110">
        <v>3711101900</v>
      </c>
      <c r="P15" s="89"/>
      <c r="Q15" s="112">
        <v>0</v>
      </c>
      <c r="R15" s="89"/>
      <c r="S15" s="112">
        <f t="shared" si="1"/>
        <v>3711101900</v>
      </c>
    </row>
    <row r="16" spans="1:19" ht="18.75">
      <c r="A16" s="34" t="s">
        <v>34</v>
      </c>
      <c r="B16" s="31"/>
      <c r="C16" s="34" t="s">
        <v>187</v>
      </c>
      <c r="D16" s="31"/>
      <c r="E16" s="110">
        <v>1761676</v>
      </c>
      <c r="F16" s="111"/>
      <c r="G16" s="110">
        <v>1565</v>
      </c>
      <c r="H16" s="89"/>
      <c r="I16" s="112">
        <v>0</v>
      </c>
      <c r="J16" s="89"/>
      <c r="K16" s="112">
        <v>0</v>
      </c>
      <c r="L16" s="89"/>
      <c r="M16" s="112">
        <f t="shared" si="0"/>
        <v>0</v>
      </c>
      <c r="N16" s="89"/>
      <c r="O16" s="110">
        <v>2757022940</v>
      </c>
      <c r="P16" s="89"/>
      <c r="Q16" s="112">
        <v>-144918143</v>
      </c>
      <c r="R16" s="89"/>
      <c r="S16" s="112">
        <f t="shared" si="1"/>
        <v>2612104797</v>
      </c>
    </row>
    <row r="17" spans="1:19" ht="18.75">
      <c r="A17" s="34" t="s">
        <v>31</v>
      </c>
      <c r="B17" s="31"/>
      <c r="C17" s="34" t="s">
        <v>185</v>
      </c>
      <c r="D17" s="31"/>
      <c r="E17" s="110">
        <v>1200000</v>
      </c>
      <c r="F17" s="111"/>
      <c r="G17" s="110">
        <v>1910</v>
      </c>
      <c r="H17" s="89"/>
      <c r="I17" s="112">
        <v>0</v>
      </c>
      <c r="J17" s="89"/>
      <c r="K17" s="112">
        <v>0</v>
      </c>
      <c r="L17" s="89"/>
      <c r="M17" s="112">
        <f t="shared" si="0"/>
        <v>0</v>
      </c>
      <c r="N17" s="89"/>
      <c r="O17" s="110">
        <v>2292000000</v>
      </c>
      <c r="P17" s="89"/>
      <c r="Q17" s="112">
        <v>-80288169</v>
      </c>
      <c r="R17" s="89"/>
      <c r="S17" s="112">
        <f t="shared" si="1"/>
        <v>2211711831</v>
      </c>
    </row>
    <row r="18" spans="1:19" ht="18.75">
      <c r="A18" s="34" t="s">
        <v>162</v>
      </c>
      <c r="B18" s="31"/>
      <c r="C18" s="34" t="s">
        <v>221</v>
      </c>
      <c r="D18" s="31"/>
      <c r="E18" s="110">
        <v>1400000</v>
      </c>
      <c r="F18" s="111"/>
      <c r="G18" s="110">
        <v>1189</v>
      </c>
      <c r="H18" s="89"/>
      <c r="I18" s="112">
        <v>1664600000</v>
      </c>
      <c r="J18" s="89"/>
      <c r="K18" s="112">
        <v>-95641963</v>
      </c>
      <c r="L18" s="89"/>
      <c r="M18" s="112">
        <f t="shared" si="0"/>
        <v>1568958037</v>
      </c>
      <c r="N18" s="89"/>
      <c r="O18" s="110">
        <v>1664600000</v>
      </c>
      <c r="P18" s="89"/>
      <c r="Q18" s="112">
        <v>-95641963</v>
      </c>
      <c r="R18" s="89"/>
      <c r="S18" s="112">
        <f t="shared" si="1"/>
        <v>1568958037</v>
      </c>
    </row>
    <row r="19" spans="1:19" ht="18.75">
      <c r="A19" s="34" t="s">
        <v>19</v>
      </c>
      <c r="B19" s="31"/>
      <c r="C19" s="34" t="s">
        <v>188</v>
      </c>
      <c r="D19" s="31"/>
      <c r="E19" s="110">
        <v>6054099</v>
      </c>
      <c r="F19" s="111"/>
      <c r="G19" s="110">
        <v>1600</v>
      </c>
      <c r="H19" s="89"/>
      <c r="I19" s="112">
        <v>0</v>
      </c>
      <c r="J19" s="89"/>
      <c r="K19" s="112">
        <v>0</v>
      </c>
      <c r="L19" s="89"/>
      <c r="M19" s="112">
        <f t="shared" si="0"/>
        <v>0</v>
      </c>
      <c r="N19" s="89"/>
      <c r="O19" s="110">
        <v>9686558400</v>
      </c>
      <c r="P19" s="89"/>
      <c r="Q19" s="112">
        <v>0</v>
      </c>
      <c r="R19" s="89"/>
      <c r="S19" s="112">
        <f t="shared" si="1"/>
        <v>9686558400</v>
      </c>
    </row>
    <row r="20" spans="1:19" ht="18.75">
      <c r="A20" s="34" t="s">
        <v>21</v>
      </c>
      <c r="B20" s="31"/>
      <c r="C20" s="34" t="s">
        <v>189</v>
      </c>
      <c r="D20" s="31"/>
      <c r="E20" s="110">
        <v>2318545</v>
      </c>
      <c r="F20" s="111"/>
      <c r="G20" s="110">
        <v>1000</v>
      </c>
      <c r="H20" s="89"/>
      <c r="I20" s="112">
        <v>0</v>
      </c>
      <c r="J20" s="89"/>
      <c r="K20" s="112">
        <v>0</v>
      </c>
      <c r="L20" s="89"/>
      <c r="M20" s="112">
        <f t="shared" si="0"/>
        <v>0</v>
      </c>
      <c r="N20" s="89"/>
      <c r="O20" s="110">
        <v>2318545000</v>
      </c>
      <c r="P20" s="89"/>
      <c r="Q20" s="112">
        <v>-48205832</v>
      </c>
      <c r="R20" s="89"/>
      <c r="S20" s="112">
        <f t="shared" si="1"/>
        <v>2270339168</v>
      </c>
    </row>
    <row r="21" spans="1:19" ht="18.75">
      <c r="A21" s="34" t="s">
        <v>27</v>
      </c>
      <c r="B21" s="31"/>
      <c r="C21" s="34" t="s">
        <v>157</v>
      </c>
      <c r="D21" s="31"/>
      <c r="E21" s="110">
        <v>36955535</v>
      </c>
      <c r="F21" s="111"/>
      <c r="G21" s="110">
        <v>253</v>
      </c>
      <c r="H21" s="89"/>
      <c r="I21" s="112">
        <v>0</v>
      </c>
      <c r="J21" s="89"/>
      <c r="K21" s="112">
        <v>0</v>
      </c>
      <c r="L21" s="89"/>
      <c r="M21" s="112">
        <f t="shared" si="0"/>
        <v>0</v>
      </c>
      <c r="N21" s="89"/>
      <c r="O21" s="110">
        <v>9349750355</v>
      </c>
      <c r="P21" s="89"/>
      <c r="Q21" s="112">
        <v>0</v>
      </c>
      <c r="R21" s="89"/>
      <c r="S21" s="112">
        <f t="shared" si="1"/>
        <v>9349750355</v>
      </c>
    </row>
    <row r="22" spans="1:19" ht="18.75">
      <c r="A22" s="34" t="s">
        <v>30</v>
      </c>
      <c r="B22" s="31"/>
      <c r="C22" s="34" t="s">
        <v>152</v>
      </c>
      <c r="D22" s="31"/>
      <c r="E22" s="110">
        <v>392907</v>
      </c>
      <c r="F22" s="111"/>
      <c r="G22" s="110">
        <v>650</v>
      </c>
      <c r="H22" s="89"/>
      <c r="I22" s="112">
        <v>0</v>
      </c>
      <c r="J22" s="89"/>
      <c r="K22" s="112">
        <v>0</v>
      </c>
      <c r="L22" s="89"/>
      <c r="M22" s="112">
        <f t="shared" si="0"/>
        <v>0</v>
      </c>
      <c r="N22" s="89"/>
      <c r="O22" s="110">
        <v>255389550</v>
      </c>
      <c r="P22" s="89"/>
      <c r="Q22" s="112">
        <v>0</v>
      </c>
      <c r="R22" s="89"/>
      <c r="S22" s="112">
        <f t="shared" si="1"/>
        <v>255389550</v>
      </c>
    </row>
    <row r="23" spans="1:19" ht="18.75">
      <c r="A23" s="34" t="s">
        <v>11</v>
      </c>
      <c r="B23" s="31"/>
      <c r="C23" s="34" t="s">
        <v>190</v>
      </c>
      <c r="D23" s="31"/>
      <c r="E23" s="110">
        <v>18460361</v>
      </c>
      <c r="F23" s="111"/>
      <c r="G23" s="110">
        <v>440</v>
      </c>
      <c r="H23" s="89"/>
      <c r="I23" s="112">
        <v>0</v>
      </c>
      <c r="J23" s="89"/>
      <c r="K23" s="112">
        <v>0</v>
      </c>
      <c r="L23" s="89"/>
      <c r="M23" s="112">
        <f t="shared" si="0"/>
        <v>0</v>
      </c>
      <c r="N23" s="89"/>
      <c r="O23" s="110">
        <v>8122558840</v>
      </c>
      <c r="P23" s="89"/>
      <c r="Q23" s="112">
        <v>0</v>
      </c>
      <c r="R23" s="89"/>
      <c r="S23" s="112">
        <f t="shared" si="1"/>
        <v>8122558840</v>
      </c>
    </row>
    <row r="24" spans="1:19" ht="18.75">
      <c r="A24" s="34" t="s">
        <v>15</v>
      </c>
      <c r="B24" s="31"/>
      <c r="C24" s="34" t="s">
        <v>221</v>
      </c>
      <c r="D24" s="31"/>
      <c r="E24" s="110">
        <v>2730605</v>
      </c>
      <c r="F24" s="111"/>
      <c r="G24" s="110">
        <v>3850</v>
      </c>
      <c r="H24" s="89"/>
      <c r="I24" s="112">
        <v>10512829250</v>
      </c>
      <c r="J24" s="89"/>
      <c r="K24" s="112">
        <v>-1430740075</v>
      </c>
      <c r="L24" s="89"/>
      <c r="M24" s="112">
        <f t="shared" si="0"/>
        <v>9082089175</v>
      </c>
      <c r="N24" s="89"/>
      <c r="O24" s="110">
        <v>10512829250</v>
      </c>
      <c r="P24" s="89"/>
      <c r="Q24" s="112">
        <v>-1430740075</v>
      </c>
      <c r="R24" s="89"/>
      <c r="S24" s="112">
        <f t="shared" si="1"/>
        <v>9082089175</v>
      </c>
    </row>
    <row r="25" spans="1:19" ht="18.75">
      <c r="A25" s="34" t="s">
        <v>148</v>
      </c>
      <c r="B25" s="31"/>
      <c r="C25" s="34" t="s">
        <v>153</v>
      </c>
      <c r="D25" s="31"/>
      <c r="E25" s="110">
        <v>170686</v>
      </c>
      <c r="F25" s="111"/>
      <c r="G25" s="110">
        <v>33000</v>
      </c>
      <c r="H25" s="89"/>
      <c r="I25" s="112">
        <v>0</v>
      </c>
      <c r="J25" s="89"/>
      <c r="K25" s="112">
        <v>0</v>
      </c>
      <c r="L25" s="89"/>
      <c r="M25" s="112">
        <f t="shared" si="0"/>
        <v>0</v>
      </c>
      <c r="N25" s="89"/>
      <c r="O25" s="110">
        <v>5632638000</v>
      </c>
      <c r="P25" s="89"/>
      <c r="Q25" s="112">
        <v>0</v>
      </c>
      <c r="R25" s="89"/>
      <c r="S25" s="112">
        <f t="shared" si="1"/>
        <v>5632638000</v>
      </c>
    </row>
    <row r="26" spans="1:19" ht="18.75">
      <c r="A26" s="34" t="s">
        <v>35</v>
      </c>
      <c r="B26" s="31"/>
      <c r="C26" s="34" t="s">
        <v>178</v>
      </c>
      <c r="D26" s="31"/>
      <c r="E26" s="110">
        <v>9346670</v>
      </c>
      <c r="F26" s="111"/>
      <c r="G26" s="110">
        <v>1087</v>
      </c>
      <c r="H26" s="89"/>
      <c r="I26" s="112">
        <v>0</v>
      </c>
      <c r="J26" s="89"/>
      <c r="K26" s="112">
        <v>0</v>
      </c>
      <c r="L26" s="89"/>
      <c r="M26" s="112">
        <f t="shared" si="0"/>
        <v>0</v>
      </c>
      <c r="N26" s="89"/>
      <c r="O26" s="110">
        <v>10159830290</v>
      </c>
      <c r="P26" s="89"/>
      <c r="Q26" s="112">
        <v>-515257973</v>
      </c>
      <c r="R26" s="89"/>
      <c r="S26" s="112">
        <f t="shared" si="1"/>
        <v>9644572317</v>
      </c>
    </row>
    <row r="27" spans="1:19" ht="18.75">
      <c r="A27" s="34" t="s">
        <v>13</v>
      </c>
      <c r="B27" s="31"/>
      <c r="C27" s="34" t="s">
        <v>188</v>
      </c>
      <c r="D27" s="31"/>
      <c r="E27" s="110">
        <v>4041021</v>
      </c>
      <c r="F27" s="111"/>
      <c r="G27" s="110">
        <v>1100</v>
      </c>
      <c r="H27" s="89"/>
      <c r="I27" s="112">
        <v>0</v>
      </c>
      <c r="J27" s="89"/>
      <c r="K27" s="112">
        <v>0</v>
      </c>
      <c r="L27" s="89"/>
      <c r="M27" s="112">
        <f t="shared" si="0"/>
        <v>0</v>
      </c>
      <c r="N27" s="89"/>
      <c r="O27" s="110">
        <v>4445123100</v>
      </c>
      <c r="P27" s="89"/>
      <c r="Q27" s="112">
        <v>-42219622</v>
      </c>
      <c r="R27" s="89"/>
      <c r="S27" s="112">
        <f t="shared" si="1"/>
        <v>4402903478</v>
      </c>
    </row>
    <row r="28" spans="1:19" ht="18.75">
      <c r="A28" s="34" t="s">
        <v>18</v>
      </c>
      <c r="B28" s="31"/>
      <c r="C28" s="34" t="s">
        <v>154</v>
      </c>
      <c r="D28" s="31"/>
      <c r="E28" s="110">
        <v>1809644</v>
      </c>
      <c r="F28" s="111"/>
      <c r="G28" s="110">
        <v>5000</v>
      </c>
      <c r="H28" s="89"/>
      <c r="I28" s="112">
        <v>0</v>
      </c>
      <c r="J28" s="89"/>
      <c r="K28" s="112">
        <v>0</v>
      </c>
      <c r="L28" s="89"/>
      <c r="M28" s="112">
        <f t="shared" si="0"/>
        <v>0</v>
      </c>
      <c r="N28" s="89"/>
      <c r="O28" s="110">
        <v>9048220000</v>
      </c>
      <c r="P28" s="89"/>
      <c r="Q28" s="112">
        <v>0</v>
      </c>
      <c r="R28" s="89"/>
      <c r="S28" s="112">
        <f t="shared" si="1"/>
        <v>9048220000</v>
      </c>
    </row>
    <row r="29" spans="1:19" ht="18.75">
      <c r="A29" s="34" t="s">
        <v>26</v>
      </c>
      <c r="B29" s="31"/>
      <c r="C29" s="34" t="s">
        <v>184</v>
      </c>
      <c r="D29" s="31"/>
      <c r="E29" s="110">
        <v>19612437</v>
      </c>
      <c r="F29" s="111"/>
      <c r="G29" s="110">
        <v>800</v>
      </c>
      <c r="H29" s="89"/>
      <c r="I29" s="112">
        <v>0</v>
      </c>
      <c r="J29" s="89"/>
      <c r="K29" s="112">
        <v>0</v>
      </c>
      <c r="L29" s="89"/>
      <c r="M29" s="112">
        <f t="shared" si="0"/>
        <v>0</v>
      </c>
      <c r="N29" s="89"/>
      <c r="O29" s="110">
        <v>15689949600</v>
      </c>
      <c r="P29" s="89"/>
      <c r="Q29" s="112">
        <v>-920557971</v>
      </c>
      <c r="R29" s="89"/>
      <c r="S29" s="112">
        <f t="shared" si="1"/>
        <v>14769391629</v>
      </c>
    </row>
    <row r="30" spans="1:19" ht="18.75">
      <c r="A30" s="34" t="s">
        <v>20</v>
      </c>
      <c r="B30" s="31"/>
      <c r="C30" s="34" t="s">
        <v>191</v>
      </c>
      <c r="D30" s="31"/>
      <c r="E30" s="110">
        <v>1600000</v>
      </c>
      <c r="F30" s="111"/>
      <c r="G30" s="110">
        <v>240</v>
      </c>
      <c r="H30" s="89"/>
      <c r="I30" s="112">
        <v>0</v>
      </c>
      <c r="J30" s="89"/>
      <c r="K30" s="112">
        <v>0</v>
      </c>
      <c r="L30" s="89"/>
      <c r="M30" s="112">
        <f t="shared" si="0"/>
        <v>0</v>
      </c>
      <c r="N30" s="89"/>
      <c r="O30" s="110">
        <v>384000000</v>
      </c>
      <c r="P30" s="89"/>
      <c r="Q30" s="112">
        <v>-9240642</v>
      </c>
      <c r="R30" s="89"/>
      <c r="S30" s="112">
        <f t="shared" si="1"/>
        <v>374759358</v>
      </c>
    </row>
    <row r="31" spans="1:19" ht="18.75">
      <c r="A31" s="34" t="s">
        <v>168</v>
      </c>
      <c r="B31" s="31"/>
      <c r="C31" s="34" t="s">
        <v>192</v>
      </c>
      <c r="D31" s="31"/>
      <c r="E31" s="110">
        <v>219000</v>
      </c>
      <c r="F31" s="111"/>
      <c r="G31" s="110">
        <v>1177</v>
      </c>
      <c r="H31" s="89"/>
      <c r="I31" s="112">
        <v>0</v>
      </c>
      <c r="J31" s="89"/>
      <c r="K31" s="112">
        <v>0</v>
      </c>
      <c r="L31" s="89"/>
      <c r="M31" s="112">
        <f t="shared" si="0"/>
        <v>0</v>
      </c>
      <c r="N31" s="89"/>
      <c r="O31" s="110">
        <v>257763000</v>
      </c>
      <c r="P31" s="89"/>
      <c r="Q31" s="112">
        <v>0</v>
      </c>
      <c r="R31" s="89"/>
      <c r="S31" s="112">
        <f t="shared" si="1"/>
        <v>257763000</v>
      </c>
    </row>
    <row r="32" spans="1:19" ht="21.75" thickBot="1">
      <c r="A32" s="22"/>
      <c r="B32" s="31"/>
      <c r="C32" s="36"/>
      <c r="D32" s="31"/>
      <c r="E32" s="110"/>
      <c r="F32" s="111"/>
      <c r="G32" s="110"/>
      <c r="H32" s="89"/>
      <c r="I32" s="113">
        <f>SUM(I8:I31)</f>
        <v>17090970345</v>
      </c>
      <c r="J32" s="111"/>
      <c r="K32" s="113">
        <f>SUM(K8:K31)</f>
        <v>-1773558733</v>
      </c>
      <c r="L32" s="111"/>
      <c r="M32" s="113">
        <f>SUM(M8:M31)</f>
        <v>15317411612</v>
      </c>
      <c r="N32" s="111"/>
      <c r="O32" s="113">
        <f>SUM(O8:O31)</f>
        <v>110233165258</v>
      </c>
      <c r="P32" s="111"/>
      <c r="Q32" s="113">
        <f>SUM(Q8:Q31)</f>
        <v>-3752918438</v>
      </c>
      <c r="R32" s="111"/>
      <c r="S32" s="113">
        <f>SUM(S8:S31)</f>
        <v>106480246820</v>
      </c>
    </row>
    <row r="33" spans="9:19" ht="13.5" thickTop="1">
      <c r="I33" s="45"/>
      <c r="O33" s="45"/>
    </row>
    <row r="35" spans="9:19">
      <c r="I35" s="38"/>
      <c r="M35" s="38"/>
      <c r="O35" s="38"/>
      <c r="Q35" s="38"/>
      <c r="S35" s="38"/>
    </row>
    <row r="36" spans="9:19">
      <c r="I36" s="45"/>
      <c r="M36" s="45"/>
      <c r="O36" s="45"/>
      <c r="S36" s="45"/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scale="62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Q10"/>
  <sheetViews>
    <sheetView rightToLeft="1" view="pageBreakPreview" zoomScale="106" zoomScaleNormal="100" zoomScaleSheetLayoutView="106" workbookViewId="0">
      <selection activeCell="V37" sqref="V37"/>
    </sheetView>
  </sheetViews>
  <sheetFormatPr defaultRowHeight="12.75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20.7109375" customWidth="1"/>
    <col min="6" max="6" width="1.28515625" customWidth="1"/>
    <col min="7" max="7" width="14.28515625" customWidth="1"/>
    <col min="8" max="8" width="1.28515625" customWidth="1"/>
    <col min="9" max="9" width="10.42578125" customWidth="1"/>
    <col min="10" max="10" width="1.28515625" customWidth="1"/>
    <col min="11" max="11" width="15.5703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5.5703125" customWidth="1"/>
    <col min="18" max="18" width="0.28515625" customWidth="1"/>
  </cols>
  <sheetData>
    <row r="1" spans="1:17" ht="29.1" customHeight="1">
      <c r="A1" s="120" t="str">
        <f>سهام!A1</f>
        <v>صندوق سرمایه‌گذاری افق دماوند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</row>
    <row r="2" spans="1:17" ht="21.75" customHeight="1">
      <c r="A2" s="120" t="s">
        <v>57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</row>
    <row r="3" spans="1:17" ht="21.75" customHeight="1">
      <c r="A3" s="120" t="str">
        <f>سهام!A3</f>
        <v>برای ماه منتهی به 1405/05/31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</row>
    <row r="4" spans="1:17" ht="14.45" customHeight="1"/>
    <row r="5" spans="1:17" ht="14.45" customHeight="1">
      <c r="A5" s="137" t="s">
        <v>98</v>
      </c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</row>
    <row r="6" spans="1:17" ht="14.45" customHeight="1">
      <c r="A6" s="122" t="s">
        <v>60</v>
      </c>
      <c r="B6" s="9"/>
      <c r="C6" s="133" t="s">
        <v>72</v>
      </c>
      <c r="D6" s="133"/>
      <c r="E6" s="133"/>
      <c r="F6" s="133"/>
      <c r="G6" s="133"/>
      <c r="H6" s="133"/>
      <c r="I6" s="133"/>
      <c r="J6" s="133"/>
      <c r="K6" s="133"/>
      <c r="L6" s="9"/>
      <c r="M6" s="122" t="s">
        <v>73</v>
      </c>
      <c r="N6" s="122"/>
      <c r="O6" s="122"/>
      <c r="P6" s="122"/>
      <c r="Q6" s="122"/>
    </row>
    <row r="7" spans="1:17" ht="29.1" customHeight="1">
      <c r="A7" s="122"/>
      <c r="B7" s="9"/>
      <c r="C7" s="69" t="s">
        <v>47</v>
      </c>
      <c r="D7" s="9"/>
      <c r="E7" s="69" t="s">
        <v>99</v>
      </c>
      <c r="F7" s="9"/>
      <c r="G7" s="69" t="s">
        <v>100</v>
      </c>
      <c r="H7" s="9"/>
      <c r="I7" s="69" t="s">
        <v>96</v>
      </c>
      <c r="J7" s="9"/>
      <c r="K7" s="69" t="s">
        <v>101</v>
      </c>
      <c r="L7" s="9"/>
      <c r="M7" s="44" t="s">
        <v>100</v>
      </c>
      <c r="N7" s="10"/>
      <c r="O7" s="44" t="s">
        <v>96</v>
      </c>
      <c r="P7" s="10"/>
      <c r="Q7" s="44" t="s">
        <v>101</v>
      </c>
    </row>
    <row r="8" spans="1:17" ht="21.75" customHeight="1">
      <c r="A8" s="25" t="s">
        <v>49</v>
      </c>
      <c r="B8" s="9"/>
      <c r="C8" s="25" t="s">
        <v>52</v>
      </c>
      <c r="D8" s="9"/>
      <c r="E8" s="19">
        <v>23</v>
      </c>
      <c r="F8" s="9"/>
      <c r="G8" s="19">
        <v>10822375191</v>
      </c>
      <c r="H8" s="19"/>
      <c r="I8" s="19">
        <v>0</v>
      </c>
      <c r="J8" s="9"/>
      <c r="K8" s="19">
        <f>G8+I8</f>
        <v>10822375191</v>
      </c>
      <c r="L8" s="19"/>
      <c r="M8" s="19">
        <v>38219817098</v>
      </c>
      <c r="N8" s="19"/>
      <c r="O8" s="19">
        <v>0</v>
      </c>
      <c r="P8" s="19"/>
      <c r="Q8" s="19">
        <f>M8+O8</f>
        <v>38219817098</v>
      </c>
    </row>
    <row r="9" spans="1:17" ht="21.75" customHeight="1" thickBot="1">
      <c r="A9" s="22"/>
      <c r="B9" s="31"/>
      <c r="C9" s="36"/>
      <c r="D9" s="31"/>
      <c r="E9" s="36"/>
      <c r="F9" s="9"/>
      <c r="G9" s="11">
        <f>SUM(G8:G8)</f>
        <v>10822375191</v>
      </c>
      <c r="H9" s="9"/>
      <c r="I9" s="11">
        <f>SUM(I8:I8)</f>
        <v>0</v>
      </c>
      <c r="J9" s="9"/>
      <c r="K9" s="11">
        <f>SUM(K8:K8)</f>
        <v>10822375191</v>
      </c>
      <c r="L9" s="9"/>
      <c r="M9" s="11">
        <f>SUM(M8:M8)</f>
        <v>38219817098</v>
      </c>
      <c r="N9" s="9"/>
      <c r="O9" s="11">
        <f>SUM(O8:O8)</f>
        <v>0</v>
      </c>
      <c r="P9" s="9"/>
      <c r="Q9" s="11">
        <f>SUM(Q8:Q8)</f>
        <v>38219817098</v>
      </c>
    </row>
    <row r="10" spans="1:17" ht="13.5" thickTop="1">
      <c r="G10" s="38"/>
      <c r="K10" s="38"/>
      <c r="M10" s="38"/>
      <c r="Q10" s="38"/>
    </row>
  </sheetData>
  <mergeCells count="7">
    <mergeCell ref="A1:Q1"/>
    <mergeCell ref="A2:Q2"/>
    <mergeCell ref="A3:Q3"/>
    <mergeCell ref="A5:Q5"/>
    <mergeCell ref="A6:A7"/>
    <mergeCell ref="M6:Q6"/>
    <mergeCell ref="C6:K6"/>
  </mergeCells>
  <pageMargins left="0.39" right="0.39" top="0.39" bottom="0.39" header="0" footer="0"/>
  <pageSetup scale="80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4"/>
  <sheetViews>
    <sheetView rightToLeft="1" view="pageBreakPreview" topLeftCell="A4" zoomScale="106" zoomScaleNormal="100" zoomScaleSheetLayoutView="106" workbookViewId="0">
      <selection activeCell="A11" sqref="A11"/>
    </sheetView>
  </sheetViews>
  <sheetFormatPr defaultRowHeight="12.75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</cols>
  <sheetData>
    <row r="1" spans="1:13" ht="29.1" customHeight="1">
      <c r="A1" s="120" t="str">
        <f>سهام!A1</f>
        <v>صندوق سرمایه‌گذاری افق دماوند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</row>
    <row r="2" spans="1:13" ht="21.75" customHeight="1">
      <c r="A2" s="120" t="s">
        <v>57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</row>
    <row r="3" spans="1:13" ht="21.75" customHeight="1">
      <c r="A3" s="120" t="str">
        <f>سهام!A3</f>
        <v>برای ماه منتهی به 1405/05/31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</row>
    <row r="4" spans="1:13" ht="14.45" customHeight="1"/>
    <row r="5" spans="1:13" ht="14.45" customHeight="1">
      <c r="A5" s="137" t="s">
        <v>102</v>
      </c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</row>
    <row r="6" spans="1:13" ht="14.45" customHeight="1">
      <c r="A6" s="122" t="s">
        <v>60</v>
      </c>
      <c r="C6" s="122" t="s">
        <v>72</v>
      </c>
      <c r="D6" s="122"/>
      <c r="E6" s="122"/>
      <c r="F6" s="122"/>
      <c r="G6" s="122"/>
      <c r="I6" s="122" t="s">
        <v>73</v>
      </c>
      <c r="J6" s="122"/>
      <c r="K6" s="122"/>
      <c r="L6" s="122"/>
      <c r="M6" s="122"/>
    </row>
    <row r="7" spans="1:13" ht="29.1" customHeight="1">
      <c r="A7" s="122"/>
      <c r="C7" s="8" t="s">
        <v>100</v>
      </c>
      <c r="D7" s="3"/>
      <c r="E7" s="8" t="s">
        <v>96</v>
      </c>
      <c r="F7" s="3"/>
      <c r="G7" s="8" t="s">
        <v>101</v>
      </c>
      <c r="I7" s="8" t="s">
        <v>100</v>
      </c>
      <c r="J7" s="3"/>
      <c r="K7" s="8" t="s">
        <v>96</v>
      </c>
      <c r="L7" s="3"/>
      <c r="M7" s="8" t="s">
        <v>101</v>
      </c>
    </row>
    <row r="8" spans="1:13" ht="21.75" customHeight="1">
      <c r="A8" s="5" t="s">
        <v>123</v>
      </c>
      <c r="C8" s="33">
        <v>0</v>
      </c>
      <c r="D8" s="31"/>
      <c r="E8" s="33">
        <v>0</v>
      </c>
      <c r="F8" s="31"/>
      <c r="G8" s="33">
        <f>C8+E8</f>
        <v>0</v>
      </c>
      <c r="H8" s="31"/>
      <c r="I8" s="33">
        <v>245778</v>
      </c>
      <c r="J8" s="31"/>
      <c r="K8" s="33">
        <v>0</v>
      </c>
      <c r="L8" s="31"/>
      <c r="M8" s="36">
        <f>I8+K8</f>
        <v>245778</v>
      </c>
    </row>
    <row r="9" spans="1:13" ht="21.75" customHeight="1">
      <c r="A9" s="6" t="s">
        <v>121</v>
      </c>
      <c r="C9" s="36">
        <v>33018</v>
      </c>
      <c r="D9" s="31"/>
      <c r="E9" s="36">
        <v>0</v>
      </c>
      <c r="F9" s="31"/>
      <c r="G9" s="36">
        <f t="shared" ref="G9:G11" si="0">C9+E9</f>
        <v>33018</v>
      </c>
      <c r="H9" s="31"/>
      <c r="I9" s="36">
        <v>1183324</v>
      </c>
      <c r="J9" s="31"/>
      <c r="K9" s="36">
        <v>0</v>
      </c>
      <c r="L9" s="31"/>
      <c r="M9" s="36">
        <f t="shared" ref="M9:M11" si="1">I9+K9</f>
        <v>1183324</v>
      </c>
    </row>
    <row r="10" spans="1:13" ht="21.75" customHeight="1">
      <c r="A10" s="6" t="s">
        <v>122</v>
      </c>
      <c r="C10" s="36">
        <v>0</v>
      </c>
      <c r="D10" s="31"/>
      <c r="E10" s="36">
        <v>0</v>
      </c>
      <c r="F10" s="31"/>
      <c r="G10" s="36">
        <f t="shared" si="0"/>
        <v>0</v>
      </c>
      <c r="H10" s="31"/>
      <c r="I10" s="36">
        <v>2045</v>
      </c>
      <c r="J10" s="31"/>
      <c r="K10" s="36">
        <v>0</v>
      </c>
      <c r="L10" s="31"/>
      <c r="M10" s="36">
        <f t="shared" si="1"/>
        <v>2045</v>
      </c>
    </row>
    <row r="11" spans="1:13" ht="21.75" customHeight="1">
      <c r="A11" s="6" t="s">
        <v>220</v>
      </c>
      <c r="C11" s="36">
        <v>3239</v>
      </c>
      <c r="D11" s="31"/>
      <c r="E11" s="36">
        <v>0</v>
      </c>
      <c r="F11" s="31"/>
      <c r="G11" s="36">
        <f t="shared" si="0"/>
        <v>3239</v>
      </c>
      <c r="H11" s="31"/>
      <c r="I11" s="36">
        <v>3239</v>
      </c>
      <c r="J11" s="31"/>
      <c r="K11" s="36">
        <v>0</v>
      </c>
      <c r="L11" s="31"/>
      <c r="M11" s="36">
        <f t="shared" si="1"/>
        <v>3239</v>
      </c>
    </row>
    <row r="12" spans="1:13" ht="21.75" customHeight="1">
      <c r="A12" s="22"/>
      <c r="C12" s="37">
        <f>SUM(C8:C11)</f>
        <v>36257</v>
      </c>
      <c r="D12" s="31"/>
      <c r="E12" s="37">
        <f>SUM(E8:E11)</f>
        <v>0</v>
      </c>
      <c r="F12" s="31"/>
      <c r="G12" s="37">
        <f>SUM(G8:G11)</f>
        <v>36257</v>
      </c>
      <c r="H12" s="31"/>
      <c r="I12" s="37">
        <f>SUM(I8:I11)</f>
        <v>1434386</v>
      </c>
      <c r="J12" s="31"/>
      <c r="K12" s="37">
        <f>SUM(K8:K11)</f>
        <v>0</v>
      </c>
      <c r="L12" s="31"/>
      <c r="M12" s="37">
        <f>SUM(M8:M10)</f>
        <v>1431147</v>
      </c>
    </row>
    <row r="13" spans="1:13">
      <c r="G13" s="38"/>
      <c r="M13" s="38"/>
    </row>
    <row r="14" spans="1:13">
      <c r="C14" s="38"/>
      <c r="G14" s="38"/>
      <c r="I14" s="38"/>
      <c r="M14" s="38"/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R45"/>
  <sheetViews>
    <sheetView rightToLeft="1" view="pageBreakPreview" topLeftCell="A22" zoomScaleNormal="100" zoomScaleSheetLayoutView="100" workbookViewId="0">
      <selection activeCell="Q37" sqref="G37:Q44"/>
    </sheetView>
  </sheetViews>
  <sheetFormatPr defaultRowHeight="18.75"/>
  <cols>
    <col min="1" max="1" width="29.85546875" style="9" bestFit="1" customWidth="1"/>
    <col min="2" max="2" width="1.28515625" style="9" customWidth="1"/>
    <col min="3" max="3" width="11.7109375" style="9" bestFit="1" customWidth="1"/>
    <col min="4" max="4" width="1.28515625" style="9" customWidth="1"/>
    <col min="5" max="5" width="16.7109375" style="9" bestFit="1" customWidth="1"/>
    <col min="6" max="6" width="1.28515625" style="9" customWidth="1"/>
    <col min="7" max="7" width="16.7109375" style="9" bestFit="1" customWidth="1"/>
    <col min="8" max="8" width="1.28515625" style="9" customWidth="1"/>
    <col min="9" max="9" width="22" style="9" bestFit="1" customWidth="1"/>
    <col min="10" max="10" width="1.28515625" style="9" customWidth="1"/>
    <col min="11" max="11" width="14.42578125" style="9" bestFit="1" customWidth="1"/>
    <col min="12" max="12" width="1.28515625" style="9" customWidth="1"/>
    <col min="13" max="13" width="18.5703125" style="9" bestFit="1" customWidth="1"/>
    <col min="14" max="14" width="1.28515625" style="9" customWidth="1"/>
    <col min="15" max="15" width="18.42578125" style="9" bestFit="1" customWidth="1"/>
    <col min="16" max="16" width="1.28515625" style="9" customWidth="1"/>
    <col min="17" max="17" width="22" style="9" bestFit="1" customWidth="1"/>
    <col min="18" max="18" width="17.28515625" style="24" bestFit="1" customWidth="1"/>
    <col min="19" max="16384" width="9.140625" style="9"/>
  </cols>
  <sheetData>
    <row r="1" spans="1:18" ht="29.1" customHeight="1">
      <c r="A1" s="120" t="str">
        <f>سهام!A1</f>
        <v>صندوق سرمایه‌گذاری افق دماوند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</row>
    <row r="2" spans="1:18" ht="21.75" customHeight="1">
      <c r="A2" s="120" t="s">
        <v>57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</row>
    <row r="3" spans="1:18" ht="21.75" customHeight="1">
      <c r="A3" s="120" t="str">
        <f>سهام!A3</f>
        <v>برای ماه منتهی به 1405/05/31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</row>
    <row r="4" spans="1:18" ht="14.45" customHeight="1"/>
    <row r="5" spans="1:18" ht="14.45" customHeight="1">
      <c r="A5" s="137" t="s">
        <v>103</v>
      </c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</row>
    <row r="6" spans="1:18" ht="14.45" customHeight="1">
      <c r="A6" s="122" t="s">
        <v>60</v>
      </c>
      <c r="C6" s="122" t="s">
        <v>72</v>
      </c>
      <c r="D6" s="122"/>
      <c r="E6" s="122"/>
      <c r="F6" s="122"/>
      <c r="G6" s="122"/>
      <c r="H6" s="122"/>
      <c r="I6" s="122"/>
      <c r="K6" s="122" t="s">
        <v>73</v>
      </c>
      <c r="L6" s="122"/>
      <c r="M6" s="122"/>
      <c r="N6" s="122"/>
      <c r="O6" s="122"/>
      <c r="P6" s="122"/>
      <c r="Q6" s="122"/>
    </row>
    <row r="7" spans="1:18" ht="29.1" customHeight="1">
      <c r="A7" s="122"/>
      <c r="C7" s="8" t="s">
        <v>5</v>
      </c>
      <c r="D7" s="10"/>
      <c r="E7" s="8" t="s">
        <v>104</v>
      </c>
      <c r="F7" s="10"/>
      <c r="G7" s="8" t="s">
        <v>105</v>
      </c>
      <c r="H7" s="10"/>
      <c r="I7" s="8" t="s">
        <v>106</v>
      </c>
      <c r="K7" s="8" t="s">
        <v>5</v>
      </c>
      <c r="L7" s="10"/>
      <c r="M7" s="8" t="s">
        <v>104</v>
      </c>
      <c r="N7" s="10"/>
      <c r="O7" s="8" t="s">
        <v>105</v>
      </c>
      <c r="P7" s="10"/>
      <c r="Q7" s="8" t="s">
        <v>106</v>
      </c>
    </row>
    <row r="8" spans="1:18">
      <c r="A8" s="6" t="s">
        <v>167</v>
      </c>
      <c r="C8" s="92">
        <v>1</v>
      </c>
      <c r="D8" s="92"/>
      <c r="E8" s="92">
        <v>1</v>
      </c>
      <c r="F8" s="92"/>
      <c r="G8" s="92">
        <v>13919</v>
      </c>
      <c r="H8" s="92"/>
      <c r="I8" s="92">
        <f>E8-G8</f>
        <v>-13918</v>
      </c>
      <c r="J8" s="92"/>
      <c r="K8" s="92">
        <v>1</v>
      </c>
      <c r="L8" s="92"/>
      <c r="M8" s="92">
        <v>1</v>
      </c>
      <c r="N8" s="92"/>
      <c r="O8" s="92">
        <v>13919</v>
      </c>
      <c r="P8" s="92"/>
      <c r="Q8" s="92">
        <f>M8-O8</f>
        <v>-13918</v>
      </c>
      <c r="R8" s="47"/>
    </row>
    <row r="9" spans="1:18">
      <c r="A9" s="6" t="s">
        <v>172</v>
      </c>
      <c r="C9" s="92">
        <v>100000</v>
      </c>
      <c r="D9" s="92"/>
      <c r="E9" s="92">
        <v>2028199896</v>
      </c>
      <c r="F9" s="92"/>
      <c r="G9" s="92">
        <v>1361544015</v>
      </c>
      <c r="H9" s="92"/>
      <c r="I9" s="92">
        <f t="shared" ref="I9:I34" si="0">E9-G9</f>
        <v>666655881</v>
      </c>
      <c r="J9" s="92"/>
      <c r="K9" s="92">
        <v>100000</v>
      </c>
      <c r="L9" s="92"/>
      <c r="M9" s="92">
        <v>2028199896</v>
      </c>
      <c r="N9" s="92"/>
      <c r="O9" s="92">
        <v>1361544015</v>
      </c>
      <c r="P9" s="92"/>
      <c r="Q9" s="92">
        <f t="shared" ref="Q9:Q35" si="1">M9-O9</f>
        <v>666655881</v>
      </c>
      <c r="R9" s="47"/>
    </row>
    <row r="10" spans="1:18">
      <c r="A10" s="6" t="s">
        <v>35</v>
      </c>
      <c r="C10" s="92">
        <v>197592</v>
      </c>
      <c r="D10" s="92"/>
      <c r="E10" s="92">
        <v>1860653212</v>
      </c>
      <c r="F10" s="92"/>
      <c r="G10" s="92">
        <v>1416990290</v>
      </c>
      <c r="H10" s="92"/>
      <c r="I10" s="92">
        <f t="shared" si="0"/>
        <v>443662922</v>
      </c>
      <c r="J10" s="92"/>
      <c r="K10" s="92">
        <v>197592</v>
      </c>
      <c r="L10" s="92"/>
      <c r="M10" s="92">
        <v>1860653212</v>
      </c>
      <c r="N10" s="92"/>
      <c r="O10" s="92">
        <v>1416990290</v>
      </c>
      <c r="P10" s="92"/>
      <c r="Q10" s="92">
        <f t="shared" si="1"/>
        <v>443662922</v>
      </c>
      <c r="R10" s="47"/>
    </row>
    <row r="11" spans="1:18">
      <c r="A11" s="6" t="s">
        <v>210</v>
      </c>
      <c r="C11" s="92">
        <v>1</v>
      </c>
      <c r="D11" s="92"/>
      <c r="E11" s="92">
        <v>1</v>
      </c>
      <c r="F11" s="92"/>
      <c r="G11" s="92">
        <v>527</v>
      </c>
      <c r="H11" s="92"/>
      <c r="I11" s="92">
        <f t="shared" si="0"/>
        <v>-526</v>
      </c>
      <c r="J11" s="92"/>
      <c r="K11" s="92">
        <v>1</v>
      </c>
      <c r="L11" s="92"/>
      <c r="M11" s="92">
        <v>1</v>
      </c>
      <c r="N11" s="92"/>
      <c r="O11" s="92">
        <v>527</v>
      </c>
      <c r="P11" s="92"/>
      <c r="Q11" s="92">
        <f t="shared" si="1"/>
        <v>-526</v>
      </c>
      <c r="R11" s="47"/>
    </row>
    <row r="12" spans="1:18">
      <c r="A12" s="6" t="s">
        <v>212</v>
      </c>
      <c r="C12" s="92">
        <v>1000000</v>
      </c>
      <c r="D12" s="92"/>
      <c r="E12" s="92">
        <v>20483429688</v>
      </c>
      <c r="F12" s="92"/>
      <c r="G12" s="92">
        <v>19963494684</v>
      </c>
      <c r="H12" s="92"/>
      <c r="I12" s="92">
        <f t="shared" si="0"/>
        <v>519935004</v>
      </c>
      <c r="J12" s="92"/>
      <c r="K12" s="92">
        <v>1000000</v>
      </c>
      <c r="L12" s="92"/>
      <c r="M12" s="92">
        <v>20483429688</v>
      </c>
      <c r="N12" s="92"/>
      <c r="O12" s="92">
        <v>19963494684</v>
      </c>
      <c r="P12" s="92"/>
      <c r="Q12" s="92">
        <f t="shared" si="1"/>
        <v>519935004</v>
      </c>
      <c r="R12" s="47"/>
    </row>
    <row r="13" spans="1:18">
      <c r="A13" s="6" t="s">
        <v>29</v>
      </c>
      <c r="C13" s="92">
        <v>8628591</v>
      </c>
      <c r="D13" s="92"/>
      <c r="E13" s="92">
        <v>24397688623</v>
      </c>
      <c r="F13" s="92"/>
      <c r="G13" s="92">
        <v>11554669808</v>
      </c>
      <c r="H13" s="92"/>
      <c r="I13" s="92">
        <f t="shared" si="0"/>
        <v>12843018815</v>
      </c>
      <c r="J13" s="92"/>
      <c r="K13" s="92">
        <v>8628591</v>
      </c>
      <c r="L13" s="92"/>
      <c r="M13" s="92">
        <v>24397688623</v>
      </c>
      <c r="N13" s="92"/>
      <c r="O13" s="92">
        <v>11554669808</v>
      </c>
      <c r="P13" s="92"/>
      <c r="Q13" s="92">
        <f t="shared" si="1"/>
        <v>12843018815</v>
      </c>
      <c r="R13" s="47"/>
    </row>
    <row r="14" spans="1:18">
      <c r="A14" s="6" t="s">
        <v>148</v>
      </c>
      <c r="C14" s="92">
        <v>0</v>
      </c>
      <c r="D14" s="92"/>
      <c r="E14" s="92">
        <v>0</v>
      </c>
      <c r="F14" s="92"/>
      <c r="G14" s="92">
        <v>0</v>
      </c>
      <c r="H14" s="92"/>
      <c r="I14" s="92">
        <f t="shared" si="0"/>
        <v>0</v>
      </c>
      <c r="J14" s="92"/>
      <c r="K14" s="92">
        <v>160686</v>
      </c>
      <c r="L14" s="92"/>
      <c r="M14" s="92">
        <v>23659954428</v>
      </c>
      <c r="N14" s="92"/>
      <c r="O14" s="92">
        <v>30862599493</v>
      </c>
      <c r="P14" s="92"/>
      <c r="Q14" s="92">
        <f t="shared" si="1"/>
        <v>-7202645065</v>
      </c>
      <c r="R14" s="47"/>
    </row>
    <row r="15" spans="1:18">
      <c r="A15" s="6" t="s">
        <v>18</v>
      </c>
      <c r="C15" s="92">
        <v>0</v>
      </c>
      <c r="D15" s="92"/>
      <c r="E15" s="92">
        <v>0</v>
      </c>
      <c r="F15" s="92"/>
      <c r="G15" s="92">
        <v>0</v>
      </c>
      <c r="H15" s="92"/>
      <c r="I15" s="92">
        <f t="shared" si="0"/>
        <v>0</v>
      </c>
      <c r="J15" s="92"/>
      <c r="K15" s="92">
        <v>150000</v>
      </c>
      <c r="L15" s="92"/>
      <c r="M15" s="92">
        <v>5172229823</v>
      </c>
      <c r="N15" s="92"/>
      <c r="O15" s="92">
        <v>5221218985</v>
      </c>
      <c r="P15" s="92"/>
      <c r="Q15" s="92">
        <f t="shared" si="1"/>
        <v>-48989162</v>
      </c>
      <c r="R15" s="47"/>
    </row>
    <row r="16" spans="1:18">
      <c r="A16" s="6" t="s">
        <v>147</v>
      </c>
      <c r="C16" s="92">
        <v>0</v>
      </c>
      <c r="D16" s="92"/>
      <c r="E16" s="92">
        <v>0</v>
      </c>
      <c r="F16" s="92"/>
      <c r="G16" s="92">
        <v>0</v>
      </c>
      <c r="H16" s="92"/>
      <c r="I16" s="92">
        <f t="shared" si="0"/>
        <v>0</v>
      </c>
      <c r="J16" s="92"/>
      <c r="K16" s="92">
        <v>147597</v>
      </c>
      <c r="L16" s="92"/>
      <c r="M16" s="92">
        <v>19296084085</v>
      </c>
      <c r="N16" s="92"/>
      <c r="O16" s="92">
        <v>21041873414</v>
      </c>
      <c r="P16" s="92"/>
      <c r="Q16" s="92">
        <f t="shared" si="1"/>
        <v>-1745789329</v>
      </c>
      <c r="R16" s="47"/>
    </row>
    <row r="17" spans="1:18">
      <c r="A17" s="6" t="s">
        <v>160</v>
      </c>
      <c r="C17" s="92">
        <v>0</v>
      </c>
      <c r="D17" s="92"/>
      <c r="E17" s="92">
        <v>0</v>
      </c>
      <c r="F17" s="92"/>
      <c r="G17" s="92">
        <v>0</v>
      </c>
      <c r="H17" s="92"/>
      <c r="I17" s="92">
        <f t="shared" si="0"/>
        <v>0</v>
      </c>
      <c r="J17" s="92"/>
      <c r="K17" s="92">
        <v>600000</v>
      </c>
      <c r="L17" s="92"/>
      <c r="M17" s="92">
        <v>4834339474</v>
      </c>
      <c r="N17" s="92"/>
      <c r="O17" s="92">
        <v>4672854923</v>
      </c>
      <c r="P17" s="92"/>
      <c r="Q17" s="92">
        <f t="shared" si="1"/>
        <v>161484551</v>
      </c>
      <c r="R17" s="47"/>
    </row>
    <row r="18" spans="1:18">
      <c r="A18" s="6" t="s">
        <v>15</v>
      </c>
      <c r="C18" s="92">
        <v>0</v>
      </c>
      <c r="D18" s="92"/>
      <c r="E18" s="92">
        <v>0</v>
      </c>
      <c r="F18" s="92"/>
      <c r="G18" s="92">
        <v>0</v>
      </c>
      <c r="H18" s="92"/>
      <c r="I18" s="92">
        <f t="shared" si="0"/>
        <v>0</v>
      </c>
      <c r="J18" s="92"/>
      <c r="K18" s="92">
        <v>1125601</v>
      </c>
      <c r="L18" s="92"/>
      <c r="M18" s="92">
        <v>68393070510</v>
      </c>
      <c r="N18" s="92"/>
      <c r="O18" s="92">
        <v>50397848114</v>
      </c>
      <c r="P18" s="92"/>
      <c r="Q18" s="92">
        <f t="shared" si="1"/>
        <v>17995222396</v>
      </c>
      <c r="R18" s="47"/>
    </row>
    <row r="19" spans="1:18">
      <c r="A19" s="6" t="s">
        <v>163</v>
      </c>
      <c r="C19" s="92">
        <v>0</v>
      </c>
      <c r="D19" s="92"/>
      <c r="E19" s="92">
        <v>0</v>
      </c>
      <c r="F19" s="92"/>
      <c r="G19" s="92">
        <v>0</v>
      </c>
      <c r="H19" s="92"/>
      <c r="I19" s="92">
        <f t="shared" si="0"/>
        <v>0</v>
      </c>
      <c r="J19" s="92"/>
      <c r="K19" s="92">
        <v>1200000</v>
      </c>
      <c r="L19" s="92"/>
      <c r="M19" s="92">
        <v>3610275192</v>
      </c>
      <c r="N19" s="92"/>
      <c r="O19" s="92">
        <v>3475584244</v>
      </c>
      <c r="P19" s="92"/>
      <c r="Q19" s="92">
        <f t="shared" si="1"/>
        <v>134690948</v>
      </c>
      <c r="R19" s="47"/>
    </row>
    <row r="20" spans="1:18">
      <c r="A20" s="6" t="s">
        <v>25</v>
      </c>
      <c r="C20" s="92">
        <v>0</v>
      </c>
      <c r="D20" s="92"/>
      <c r="E20" s="92">
        <v>0</v>
      </c>
      <c r="F20" s="92"/>
      <c r="G20" s="92">
        <v>0</v>
      </c>
      <c r="H20" s="92"/>
      <c r="I20" s="92">
        <f t="shared" si="0"/>
        <v>0</v>
      </c>
      <c r="J20" s="92"/>
      <c r="K20" s="92">
        <v>19700000</v>
      </c>
      <c r="L20" s="92"/>
      <c r="M20" s="92">
        <v>236771390982</v>
      </c>
      <c r="N20" s="92"/>
      <c r="O20" s="92">
        <v>203406550229</v>
      </c>
      <c r="P20" s="92"/>
      <c r="Q20" s="92">
        <f t="shared" si="1"/>
        <v>33364840753</v>
      </c>
      <c r="R20" s="47"/>
    </row>
    <row r="21" spans="1:18">
      <c r="A21" s="6" t="s">
        <v>12</v>
      </c>
      <c r="C21" s="92">
        <v>0</v>
      </c>
      <c r="D21" s="92"/>
      <c r="E21" s="92">
        <v>0</v>
      </c>
      <c r="F21" s="92"/>
      <c r="G21" s="92">
        <v>0</v>
      </c>
      <c r="H21" s="92"/>
      <c r="I21" s="92">
        <f t="shared" si="0"/>
        <v>0</v>
      </c>
      <c r="J21" s="92"/>
      <c r="K21" s="92">
        <v>7500001</v>
      </c>
      <c r="L21" s="92"/>
      <c r="M21" s="92">
        <v>98755672371</v>
      </c>
      <c r="N21" s="92"/>
      <c r="O21" s="92">
        <v>96215155085</v>
      </c>
      <c r="P21" s="92"/>
      <c r="Q21" s="92">
        <f t="shared" si="1"/>
        <v>2540517286</v>
      </c>
      <c r="R21" s="47"/>
    </row>
    <row r="22" spans="1:18">
      <c r="A22" s="6" t="s">
        <v>135</v>
      </c>
      <c r="C22" s="92">
        <v>0</v>
      </c>
      <c r="D22" s="92"/>
      <c r="E22" s="92">
        <v>0</v>
      </c>
      <c r="F22" s="92"/>
      <c r="G22" s="92">
        <v>0</v>
      </c>
      <c r="H22" s="92"/>
      <c r="I22" s="92">
        <f t="shared" si="0"/>
        <v>0</v>
      </c>
      <c r="J22" s="92"/>
      <c r="K22" s="92">
        <v>75000</v>
      </c>
      <c r="L22" s="92"/>
      <c r="M22" s="92">
        <v>4129083604</v>
      </c>
      <c r="N22" s="92"/>
      <c r="O22" s="92">
        <v>3647914980</v>
      </c>
      <c r="P22" s="92"/>
      <c r="Q22" s="92">
        <f t="shared" si="1"/>
        <v>481168624</v>
      </c>
      <c r="R22" s="47"/>
    </row>
    <row r="23" spans="1:18">
      <c r="A23" s="6" t="s">
        <v>19</v>
      </c>
      <c r="C23" s="92">
        <v>0</v>
      </c>
      <c r="D23" s="92"/>
      <c r="E23" s="92">
        <v>0</v>
      </c>
      <c r="F23" s="92"/>
      <c r="G23" s="92">
        <v>0</v>
      </c>
      <c r="H23" s="92"/>
      <c r="I23" s="92">
        <f t="shared" si="0"/>
        <v>0</v>
      </c>
      <c r="J23" s="92"/>
      <c r="K23" s="92">
        <v>1</v>
      </c>
      <c r="L23" s="92"/>
      <c r="M23" s="92">
        <v>1</v>
      </c>
      <c r="N23" s="92"/>
      <c r="O23" s="92">
        <v>10041</v>
      </c>
      <c r="P23" s="92"/>
      <c r="Q23" s="92">
        <f t="shared" si="1"/>
        <v>-10040</v>
      </c>
      <c r="R23" s="47"/>
    </row>
    <row r="24" spans="1:18">
      <c r="A24" s="6" t="s">
        <v>78</v>
      </c>
      <c r="C24" s="92">
        <v>0</v>
      </c>
      <c r="D24" s="92"/>
      <c r="E24" s="92">
        <v>0</v>
      </c>
      <c r="F24" s="92"/>
      <c r="G24" s="92">
        <v>0</v>
      </c>
      <c r="H24" s="92"/>
      <c r="I24" s="92">
        <f t="shared" si="0"/>
        <v>0</v>
      </c>
      <c r="J24" s="92"/>
      <c r="K24" s="92">
        <v>2300000</v>
      </c>
      <c r="L24" s="92"/>
      <c r="M24" s="92">
        <v>86352205163</v>
      </c>
      <c r="N24" s="92"/>
      <c r="O24" s="92">
        <v>99288577443</v>
      </c>
      <c r="P24" s="92"/>
      <c r="Q24" s="92">
        <f t="shared" si="1"/>
        <v>-12936372280</v>
      </c>
      <c r="R24" s="47"/>
    </row>
    <row r="25" spans="1:18">
      <c r="A25" s="6" t="s">
        <v>149</v>
      </c>
      <c r="C25" s="92">
        <v>0</v>
      </c>
      <c r="D25" s="92"/>
      <c r="E25" s="92">
        <v>0</v>
      </c>
      <c r="F25" s="92"/>
      <c r="G25" s="92">
        <v>0</v>
      </c>
      <c r="H25" s="92"/>
      <c r="I25" s="92">
        <f t="shared" si="0"/>
        <v>0</v>
      </c>
      <c r="J25" s="92"/>
      <c r="K25" s="92">
        <v>750000</v>
      </c>
      <c r="L25" s="92"/>
      <c r="M25" s="92">
        <v>8766705495</v>
      </c>
      <c r="N25" s="92"/>
      <c r="O25" s="92">
        <v>6488129520</v>
      </c>
      <c r="P25" s="92"/>
      <c r="Q25" s="92">
        <f t="shared" si="1"/>
        <v>2278575975</v>
      </c>
      <c r="R25" s="47"/>
    </row>
    <row r="26" spans="1:18">
      <c r="A26" s="6" t="s">
        <v>168</v>
      </c>
      <c r="C26" s="92">
        <v>0</v>
      </c>
      <c r="D26" s="92"/>
      <c r="E26" s="92">
        <v>0</v>
      </c>
      <c r="F26" s="92"/>
      <c r="G26" s="92">
        <v>0</v>
      </c>
      <c r="H26" s="92"/>
      <c r="I26" s="92">
        <f t="shared" si="0"/>
        <v>0</v>
      </c>
      <c r="J26" s="92"/>
      <c r="K26" s="92">
        <v>219000</v>
      </c>
      <c r="L26" s="92"/>
      <c r="M26" s="92">
        <v>6779982620</v>
      </c>
      <c r="N26" s="92"/>
      <c r="O26" s="92">
        <v>5243648540</v>
      </c>
      <c r="P26" s="92"/>
      <c r="Q26" s="92">
        <f t="shared" si="1"/>
        <v>1536334080</v>
      </c>
      <c r="R26" s="47"/>
    </row>
    <row r="27" spans="1:18">
      <c r="A27" s="6" t="s">
        <v>28</v>
      </c>
      <c r="C27" s="92">
        <v>0</v>
      </c>
      <c r="D27" s="92"/>
      <c r="E27" s="92">
        <v>0</v>
      </c>
      <c r="F27" s="92"/>
      <c r="G27" s="92">
        <v>0</v>
      </c>
      <c r="H27" s="92"/>
      <c r="I27" s="92">
        <f t="shared" si="0"/>
        <v>0</v>
      </c>
      <c r="J27" s="92"/>
      <c r="K27" s="92">
        <v>800000</v>
      </c>
      <c r="L27" s="92"/>
      <c r="M27" s="92">
        <v>23616026050</v>
      </c>
      <c r="N27" s="92"/>
      <c r="O27" s="92">
        <v>21256996216</v>
      </c>
      <c r="P27" s="92"/>
      <c r="Q27" s="92">
        <f t="shared" si="1"/>
        <v>2359029834</v>
      </c>
      <c r="R27" s="47"/>
    </row>
    <row r="28" spans="1:18">
      <c r="A28" s="6" t="s">
        <v>146</v>
      </c>
      <c r="C28" s="92">
        <v>0</v>
      </c>
      <c r="D28" s="92"/>
      <c r="E28" s="92">
        <v>0</v>
      </c>
      <c r="F28" s="92"/>
      <c r="G28" s="92">
        <v>0</v>
      </c>
      <c r="H28" s="92"/>
      <c r="I28" s="92">
        <f t="shared" si="0"/>
        <v>0</v>
      </c>
      <c r="J28" s="92"/>
      <c r="K28" s="92">
        <v>400000</v>
      </c>
      <c r="L28" s="92"/>
      <c r="M28" s="92">
        <v>25479509123</v>
      </c>
      <c r="N28" s="92"/>
      <c r="O28" s="92">
        <v>20718560723</v>
      </c>
      <c r="P28" s="92"/>
      <c r="Q28" s="92">
        <f t="shared" si="1"/>
        <v>4760948400</v>
      </c>
      <c r="R28" s="47"/>
    </row>
    <row r="29" spans="1:18">
      <c r="A29" s="6" t="s">
        <v>165</v>
      </c>
      <c r="C29" s="92">
        <v>0</v>
      </c>
      <c r="D29" s="92"/>
      <c r="E29" s="92">
        <v>0</v>
      </c>
      <c r="F29" s="92"/>
      <c r="G29" s="92">
        <v>0</v>
      </c>
      <c r="H29" s="92"/>
      <c r="I29" s="92">
        <f t="shared" si="0"/>
        <v>0</v>
      </c>
      <c r="J29" s="92"/>
      <c r="K29" s="92">
        <v>100000</v>
      </c>
      <c r="L29" s="92"/>
      <c r="M29" s="92">
        <v>1403069799</v>
      </c>
      <c r="N29" s="92"/>
      <c r="O29" s="92">
        <v>1174218640</v>
      </c>
      <c r="P29" s="92"/>
      <c r="Q29" s="92">
        <f t="shared" si="1"/>
        <v>228851159</v>
      </c>
      <c r="R29" s="47"/>
    </row>
    <row r="30" spans="1:18">
      <c r="A30" s="6" t="s">
        <v>13</v>
      </c>
      <c r="C30" s="92">
        <v>0</v>
      </c>
      <c r="D30" s="92"/>
      <c r="E30" s="92">
        <v>0</v>
      </c>
      <c r="F30" s="92"/>
      <c r="G30" s="92">
        <v>0</v>
      </c>
      <c r="H30" s="92"/>
      <c r="I30" s="92">
        <f t="shared" si="0"/>
        <v>0</v>
      </c>
      <c r="J30" s="92"/>
      <c r="K30" s="92">
        <v>700000</v>
      </c>
      <c r="L30" s="92"/>
      <c r="M30" s="92">
        <v>7388442477</v>
      </c>
      <c r="N30" s="92"/>
      <c r="O30" s="92">
        <v>5179378600</v>
      </c>
      <c r="P30" s="92"/>
      <c r="Q30" s="92">
        <f t="shared" si="1"/>
        <v>2209063877</v>
      </c>
      <c r="R30" s="47"/>
    </row>
    <row r="31" spans="1:18">
      <c r="A31" s="6" t="s">
        <v>11</v>
      </c>
      <c r="C31" s="92">
        <v>0</v>
      </c>
      <c r="D31" s="92"/>
      <c r="E31" s="92">
        <v>0</v>
      </c>
      <c r="F31" s="92"/>
      <c r="G31" s="92">
        <v>0</v>
      </c>
      <c r="H31" s="92"/>
      <c r="I31" s="92">
        <f t="shared" si="0"/>
        <v>0</v>
      </c>
      <c r="J31" s="92"/>
      <c r="K31" s="92">
        <v>14400000</v>
      </c>
      <c r="L31" s="92"/>
      <c r="M31" s="92">
        <v>39444320399</v>
      </c>
      <c r="N31" s="92"/>
      <c r="O31" s="92">
        <v>33824817196</v>
      </c>
      <c r="P31" s="92"/>
      <c r="Q31" s="92">
        <f t="shared" si="1"/>
        <v>5619503203</v>
      </c>
      <c r="R31" s="47"/>
    </row>
    <row r="32" spans="1:18">
      <c r="A32" s="6" t="s">
        <v>158</v>
      </c>
      <c r="C32" s="92">
        <v>0</v>
      </c>
      <c r="D32" s="92"/>
      <c r="E32" s="92">
        <v>0</v>
      </c>
      <c r="F32" s="92"/>
      <c r="G32" s="92">
        <v>0</v>
      </c>
      <c r="H32" s="92"/>
      <c r="I32" s="92">
        <f t="shared" si="0"/>
        <v>0</v>
      </c>
      <c r="J32" s="92"/>
      <c r="K32" s="92">
        <v>1600000</v>
      </c>
      <c r="L32" s="92"/>
      <c r="M32" s="92">
        <v>7814523193</v>
      </c>
      <c r="N32" s="92"/>
      <c r="O32" s="92">
        <v>5689200675</v>
      </c>
      <c r="P32" s="92"/>
      <c r="Q32" s="92">
        <f t="shared" si="1"/>
        <v>2125322518</v>
      </c>
      <c r="R32" s="47"/>
    </row>
    <row r="33" spans="1:18">
      <c r="A33" s="6" t="s">
        <v>166</v>
      </c>
      <c r="C33" s="92">
        <v>0</v>
      </c>
      <c r="D33" s="92"/>
      <c r="E33" s="92">
        <v>0</v>
      </c>
      <c r="F33" s="92"/>
      <c r="G33" s="92">
        <v>0</v>
      </c>
      <c r="H33" s="92"/>
      <c r="I33" s="92">
        <f t="shared" si="0"/>
        <v>0</v>
      </c>
      <c r="J33" s="92"/>
      <c r="K33" s="92">
        <v>400000</v>
      </c>
      <c r="L33" s="92"/>
      <c r="M33" s="92">
        <v>7684138946</v>
      </c>
      <c r="N33" s="92"/>
      <c r="O33" s="92">
        <v>4063093301</v>
      </c>
      <c r="P33" s="92"/>
      <c r="Q33" s="92">
        <f t="shared" si="1"/>
        <v>3621045645</v>
      </c>
      <c r="R33" s="47"/>
    </row>
    <row r="34" spans="1:18">
      <c r="A34" s="6" t="s">
        <v>49</v>
      </c>
      <c r="C34" s="92">
        <v>620500</v>
      </c>
      <c r="D34" s="92"/>
      <c r="E34" s="92">
        <v>620176103125</v>
      </c>
      <c r="F34" s="92"/>
      <c r="G34" s="92">
        <v>620492401862</v>
      </c>
      <c r="H34" s="92"/>
      <c r="I34" s="92">
        <f t="shared" si="0"/>
        <v>-316298737</v>
      </c>
      <c r="J34" s="92"/>
      <c r="K34" s="92">
        <v>841300</v>
      </c>
      <c r="L34" s="92"/>
      <c r="M34" s="92">
        <v>840856568125</v>
      </c>
      <c r="N34" s="92"/>
      <c r="O34" s="92">
        <v>841082665000</v>
      </c>
      <c r="P34" s="92"/>
      <c r="Q34" s="92">
        <f t="shared" si="1"/>
        <v>-226096875</v>
      </c>
      <c r="R34" s="47"/>
    </row>
    <row r="35" spans="1:18" ht="19.5" thickBot="1">
      <c r="C35" s="92"/>
      <c r="D35" s="107"/>
      <c r="E35" s="108">
        <f>SUM(E8:E34)</f>
        <v>668946074546</v>
      </c>
      <c r="F35" s="107"/>
      <c r="G35" s="108">
        <f>SUM(G8:G34)</f>
        <v>654789115105</v>
      </c>
      <c r="H35" s="107"/>
      <c r="I35" s="108">
        <f>SUM(I8:I34)</f>
        <v>14156959441</v>
      </c>
      <c r="J35" s="107"/>
      <c r="K35" s="92"/>
      <c r="L35" s="107"/>
      <c r="M35" s="108">
        <f>SUM(M8:M34)</f>
        <v>1568977563281</v>
      </c>
      <c r="N35" s="107"/>
      <c r="O35" s="108">
        <v>1497247608605</v>
      </c>
      <c r="P35" s="107"/>
      <c r="Q35" s="108">
        <f t="shared" si="1"/>
        <v>71729954676</v>
      </c>
      <c r="R35" s="47"/>
    </row>
    <row r="36" spans="1:18" ht="19.5" thickTop="1">
      <c r="C36" s="92"/>
      <c r="D36" s="107"/>
      <c r="E36" s="92"/>
      <c r="F36" s="107"/>
      <c r="G36" s="92"/>
      <c r="H36" s="107"/>
      <c r="I36" s="92"/>
      <c r="J36" s="107"/>
      <c r="K36" s="92"/>
      <c r="L36" s="107"/>
      <c r="M36" s="92"/>
      <c r="N36" s="107"/>
      <c r="O36" s="92"/>
      <c r="P36" s="107"/>
      <c r="Q36" s="92"/>
      <c r="R36" s="47"/>
    </row>
    <row r="37" spans="1:18">
      <c r="I37" s="92"/>
      <c r="M37" s="71"/>
      <c r="Q37" s="92"/>
      <c r="R37" s="47"/>
    </row>
    <row r="38" spans="1:18">
      <c r="I38" s="92"/>
      <c r="M38" s="71"/>
      <c r="Q38" s="92"/>
      <c r="R38" s="47"/>
    </row>
    <row r="39" spans="1:18">
      <c r="I39" s="92"/>
      <c r="Q39" s="92"/>
      <c r="R39" s="47"/>
    </row>
    <row r="40" spans="1:18">
      <c r="I40" s="92"/>
      <c r="Q40" s="92"/>
      <c r="R40" s="47"/>
    </row>
    <row r="41" spans="1:18">
      <c r="I41" s="23"/>
      <c r="Q41" s="92"/>
      <c r="R41" s="47"/>
    </row>
    <row r="42" spans="1:18">
      <c r="Q42" s="23"/>
    </row>
    <row r="45" spans="1:18">
      <c r="G45" s="23"/>
    </row>
  </sheetData>
  <mergeCells count="7">
    <mergeCell ref="A1:Q1"/>
    <mergeCell ref="A2:Q2"/>
    <mergeCell ref="A3:Q3"/>
    <mergeCell ref="A5:Q5"/>
    <mergeCell ref="A6:A7"/>
    <mergeCell ref="C6:I6"/>
    <mergeCell ref="K6:Q6"/>
  </mergeCells>
  <pageMargins left="0.39370078740157483" right="0.39370078740157483" top="0.39370078740157483" bottom="0.39370078740157483" header="0" footer="0"/>
  <pageSetup scale="36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L19"/>
  <sheetViews>
    <sheetView rightToLeft="1" view="pageBreakPreview" zoomScale="96" zoomScaleNormal="100" zoomScaleSheetLayoutView="96" workbookViewId="0">
      <selection activeCell="Q31" sqref="Q31"/>
    </sheetView>
  </sheetViews>
  <sheetFormatPr defaultRowHeight="12.75"/>
  <cols>
    <col min="1" max="1" width="44" bestFit="1" customWidth="1"/>
    <col min="2" max="2" width="11" bestFit="1" customWidth="1"/>
    <col min="3" max="3" width="1.28515625" customWidth="1"/>
    <col min="4" max="4" width="14.28515625" bestFit="1" customWidth="1"/>
    <col min="5" max="5" width="1.28515625" customWidth="1"/>
    <col min="6" max="6" width="12.28515625" bestFit="1" customWidth="1"/>
    <col min="7" max="7" width="1.28515625" customWidth="1"/>
    <col min="8" max="8" width="11.42578125" bestFit="1" customWidth="1"/>
    <col min="9" max="9" width="1.28515625" customWidth="1"/>
    <col min="10" max="10" width="15.7109375" bestFit="1" customWidth="1"/>
    <col min="11" max="11" width="1.28515625" customWidth="1"/>
    <col min="12" max="12" width="16.85546875" bestFit="1" customWidth="1"/>
    <col min="13" max="13" width="0.28515625" customWidth="1"/>
  </cols>
  <sheetData>
    <row r="1" spans="1:12" ht="25.5">
      <c r="A1" s="120" t="str">
        <f>سهام!A1</f>
        <v>صندوق سرمایه‌گذاری افق دماوند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</row>
    <row r="2" spans="1:12" ht="25.5">
      <c r="A2" s="120" t="s">
        <v>57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r="3" spans="1:12" ht="25.5">
      <c r="A3" s="120" t="str">
        <f>سهام!A3</f>
        <v>برای ماه منتهی به 1405/05/31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</row>
    <row r="5" spans="1:12" ht="24">
      <c r="A5" s="26" t="s">
        <v>107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7" spans="1:12" ht="21">
      <c r="B7" s="122" t="s">
        <v>72</v>
      </c>
      <c r="C7" s="122"/>
      <c r="D7" s="122"/>
      <c r="E7" s="122"/>
      <c r="F7" s="122"/>
      <c r="G7" s="122"/>
      <c r="H7" s="122"/>
      <c r="I7" s="122"/>
      <c r="J7" s="122"/>
      <c r="L7" s="2" t="s">
        <v>73</v>
      </c>
    </row>
    <row r="8" spans="1:12" ht="21">
      <c r="A8" s="2" t="s">
        <v>108</v>
      </c>
      <c r="B8" s="8" t="s">
        <v>39</v>
      </c>
      <c r="C8" s="3"/>
      <c r="D8" s="8" t="s">
        <v>5</v>
      </c>
      <c r="E8" s="3"/>
      <c r="F8" s="8" t="s">
        <v>109</v>
      </c>
      <c r="G8" s="3"/>
      <c r="H8" s="8" t="s">
        <v>110</v>
      </c>
      <c r="I8" s="3"/>
      <c r="J8" s="8" t="s">
        <v>111</v>
      </c>
      <c r="L8" s="8" t="s">
        <v>111</v>
      </c>
    </row>
    <row r="9" spans="1:12" ht="18.75">
      <c r="A9" s="6" t="s">
        <v>143</v>
      </c>
      <c r="B9" s="71" t="s">
        <v>139</v>
      </c>
      <c r="D9" s="92">
        <v>0</v>
      </c>
      <c r="E9" s="92">
        <v>0</v>
      </c>
      <c r="F9" s="92">
        <v>0</v>
      </c>
      <c r="G9" s="92">
        <v>0</v>
      </c>
      <c r="H9" s="92">
        <v>0</v>
      </c>
      <c r="I9" s="92">
        <v>0</v>
      </c>
      <c r="J9" s="92">
        <v>0</v>
      </c>
      <c r="K9" s="92"/>
      <c r="L9" s="92">
        <v>860979948</v>
      </c>
    </row>
    <row r="10" spans="1:12" ht="18.75">
      <c r="A10" s="6" t="s">
        <v>193</v>
      </c>
      <c r="B10" s="71" t="s">
        <v>192</v>
      </c>
      <c r="D10" s="92">
        <v>0</v>
      </c>
      <c r="E10" s="92">
        <v>0</v>
      </c>
      <c r="F10" s="92">
        <v>0</v>
      </c>
      <c r="G10" s="92">
        <v>0</v>
      </c>
      <c r="H10" s="92">
        <v>0</v>
      </c>
      <c r="I10" s="92">
        <v>0</v>
      </c>
      <c r="J10" s="92">
        <v>0</v>
      </c>
      <c r="K10" s="92"/>
      <c r="L10" s="92">
        <v>25012631</v>
      </c>
    </row>
    <row r="11" spans="1:12" ht="18.75">
      <c r="A11" s="6" t="s">
        <v>181</v>
      </c>
      <c r="B11" s="71" t="s">
        <v>194</v>
      </c>
      <c r="D11" s="92">
        <v>0</v>
      </c>
      <c r="E11" s="92"/>
      <c r="F11" s="92">
        <v>0</v>
      </c>
      <c r="G11" s="92"/>
      <c r="H11" s="92">
        <v>0</v>
      </c>
      <c r="I11" s="92"/>
      <c r="J11" s="92">
        <v>0</v>
      </c>
      <c r="K11" s="92"/>
      <c r="L11" s="92">
        <v>610784507</v>
      </c>
    </row>
    <row r="12" spans="1:12" ht="18.75">
      <c r="A12" s="6" t="s">
        <v>173</v>
      </c>
      <c r="B12" s="71" t="s">
        <v>178</v>
      </c>
      <c r="D12" s="92">
        <v>0</v>
      </c>
      <c r="E12" s="92"/>
      <c r="F12" s="92">
        <v>0</v>
      </c>
      <c r="G12" s="92"/>
      <c r="H12" s="92">
        <v>0</v>
      </c>
      <c r="I12" s="92"/>
      <c r="J12" s="92">
        <v>0</v>
      </c>
      <c r="K12" s="92"/>
      <c r="L12" s="92">
        <v>1682096085</v>
      </c>
    </row>
    <row r="13" spans="1:12" ht="18.75">
      <c r="A13" s="6" t="s">
        <v>174</v>
      </c>
      <c r="B13" s="71" t="s">
        <v>178</v>
      </c>
      <c r="D13" s="92">
        <v>0</v>
      </c>
      <c r="E13" s="92"/>
      <c r="F13" s="92">
        <v>0</v>
      </c>
      <c r="G13" s="92"/>
      <c r="H13" s="92">
        <v>0</v>
      </c>
      <c r="I13" s="92"/>
      <c r="J13" s="92">
        <v>0</v>
      </c>
      <c r="K13" s="92"/>
      <c r="L13" s="92">
        <v>-63576171</v>
      </c>
    </row>
    <row r="14" spans="1:12" ht="18.75">
      <c r="A14" s="6" t="s">
        <v>175</v>
      </c>
      <c r="B14" s="71" t="s">
        <v>179</v>
      </c>
      <c r="D14" s="92">
        <v>35961000</v>
      </c>
      <c r="E14" s="92"/>
      <c r="F14" s="92">
        <v>-952168</v>
      </c>
      <c r="G14" s="92"/>
      <c r="H14" s="92">
        <v>0</v>
      </c>
      <c r="I14" s="92"/>
      <c r="J14" s="92">
        <v>3813160132</v>
      </c>
      <c r="K14" s="92"/>
      <c r="L14" s="92">
        <v>3813160132</v>
      </c>
    </row>
    <row r="15" spans="1:12" ht="18.75">
      <c r="A15" s="6" t="s">
        <v>176</v>
      </c>
      <c r="B15" s="71" t="s">
        <v>179</v>
      </c>
      <c r="D15" s="92">
        <v>4000000</v>
      </c>
      <c r="E15" s="92"/>
      <c r="F15" s="92">
        <v>-540000</v>
      </c>
      <c r="G15" s="92"/>
      <c r="H15" s="92">
        <v>0</v>
      </c>
      <c r="I15" s="92"/>
      <c r="J15" s="92">
        <v>23983000</v>
      </c>
      <c r="K15" s="92"/>
      <c r="L15" s="92">
        <v>23983000</v>
      </c>
    </row>
    <row r="16" spans="1:12" ht="18.75">
      <c r="A16" s="6" t="s">
        <v>211</v>
      </c>
      <c r="B16" s="71" t="s">
        <v>180</v>
      </c>
      <c r="D16" s="92">
        <v>24678000</v>
      </c>
      <c r="E16" s="92"/>
      <c r="F16" s="92">
        <v>-12863294</v>
      </c>
      <c r="G16" s="92"/>
      <c r="H16" s="92">
        <v>0</v>
      </c>
      <c r="I16" s="92"/>
      <c r="J16" s="92">
        <v>57683703</v>
      </c>
      <c r="K16" s="92"/>
      <c r="L16" s="92">
        <v>57683703</v>
      </c>
    </row>
    <row r="17" spans="1:12" ht="18.75">
      <c r="A17" s="6" t="s">
        <v>177</v>
      </c>
      <c r="B17" s="71" t="s">
        <v>180</v>
      </c>
      <c r="D17" s="92">
        <v>8777142</v>
      </c>
      <c r="E17" s="92"/>
      <c r="F17" s="92">
        <v>-23895896</v>
      </c>
      <c r="G17" s="92"/>
      <c r="H17" s="92">
        <v>0</v>
      </c>
      <c r="I17" s="92"/>
      <c r="J17" s="92">
        <v>-8789701500</v>
      </c>
      <c r="K17" s="92"/>
      <c r="L17" s="92">
        <v>-8668969170</v>
      </c>
    </row>
    <row r="18" spans="1:12" ht="19.5" thickBot="1">
      <c r="D18" s="114"/>
      <c r="E18" s="115"/>
      <c r="F18" s="116">
        <f>SUM(F9:F17)</f>
        <v>-38251358</v>
      </c>
      <c r="G18" s="115"/>
      <c r="H18" s="116">
        <f>SUM(H9:H17)</f>
        <v>0</v>
      </c>
      <c r="I18" s="115"/>
      <c r="J18" s="116">
        <f>SUM(J9:J17)</f>
        <v>-4894874665</v>
      </c>
      <c r="K18" s="115"/>
      <c r="L18" s="116">
        <f>SUM(L9:L17)</f>
        <v>-1658845335</v>
      </c>
    </row>
    <row r="19" spans="1:12" ht="13.5" thickTop="1"/>
  </sheetData>
  <mergeCells count="4">
    <mergeCell ref="B7:J7"/>
    <mergeCell ref="A1:L1"/>
    <mergeCell ref="A2:L2"/>
    <mergeCell ref="A3:L3"/>
  </mergeCells>
  <phoneticPr fontId="22" type="noConversion"/>
  <conditionalFormatting sqref="A1:A1048576">
    <cfRule type="duplicateValues" dxfId="6" priority="6"/>
  </conditionalFormatting>
  <conditionalFormatting sqref="D18">
    <cfRule type="duplicateValues" dxfId="5" priority="1"/>
  </conditionalFormatting>
  <conditionalFormatting sqref="F18">
    <cfRule type="duplicateValues" dxfId="4" priority="2"/>
  </conditionalFormatting>
  <conditionalFormatting sqref="H18">
    <cfRule type="duplicateValues" dxfId="3" priority="3"/>
  </conditionalFormatting>
  <conditionalFormatting sqref="J18">
    <cfRule type="duplicateValues" dxfId="2" priority="4"/>
  </conditionalFormatting>
  <conditionalFormatting sqref="L1:L1048576">
    <cfRule type="duplicateValues" dxfId="1" priority="5"/>
  </conditionalFormatting>
  <pageMargins left="0.39" right="0.39" top="0.39" bottom="0.39" header="0" footer="0"/>
  <pageSetup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72"/>
  <sheetViews>
    <sheetView rightToLeft="1" view="pageBreakPreview" topLeftCell="A61" zoomScaleNormal="100" zoomScaleSheetLayoutView="100" workbookViewId="0">
      <selection activeCell="S11" sqref="S11"/>
    </sheetView>
  </sheetViews>
  <sheetFormatPr defaultRowHeight="18.75"/>
  <cols>
    <col min="1" max="1" width="29.7109375" bestFit="1" customWidth="1"/>
    <col min="2" max="2" width="1.28515625" customWidth="1"/>
    <col min="3" max="3" width="12.85546875" bestFit="1" customWidth="1"/>
    <col min="4" max="4" width="1.28515625" customWidth="1"/>
    <col min="5" max="5" width="18.5703125" bestFit="1" customWidth="1"/>
    <col min="6" max="6" width="1.28515625" customWidth="1"/>
    <col min="7" max="7" width="18.5703125" bestFit="1" customWidth="1"/>
    <col min="8" max="8" width="1.28515625" customWidth="1"/>
    <col min="9" max="9" width="26.28515625" bestFit="1" customWidth="1"/>
    <col min="10" max="10" width="1.28515625" customWidth="1"/>
    <col min="11" max="11" width="12.85546875" bestFit="1" customWidth="1"/>
    <col min="12" max="12" width="1.28515625" customWidth="1"/>
    <col min="13" max="13" width="18.5703125" bestFit="1" customWidth="1"/>
    <col min="14" max="14" width="1.28515625" customWidth="1"/>
    <col min="15" max="15" width="18.42578125" bestFit="1" customWidth="1"/>
    <col min="16" max="16" width="1.28515625" customWidth="1"/>
    <col min="17" max="17" width="26.28515625" bestFit="1" customWidth="1"/>
    <col min="18" max="18" width="15.7109375" style="47" bestFit="1" customWidth="1"/>
  </cols>
  <sheetData>
    <row r="1" spans="1:17" ht="29.1" customHeight="1">
      <c r="A1" s="120" t="str">
        <f>سهام!A1</f>
        <v>صندوق سرمایه‌گذاری افق دماوند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</row>
    <row r="2" spans="1:17" ht="21.75" customHeight="1">
      <c r="A2" s="120" t="s">
        <v>57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</row>
    <row r="3" spans="1:17" ht="21.75" customHeight="1">
      <c r="A3" s="120" t="str">
        <f>سهام!A3</f>
        <v>برای ماه منتهی به 1405/05/31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</row>
    <row r="4" spans="1:17" ht="14.45" customHeight="1"/>
    <row r="5" spans="1:17" ht="14.45" customHeight="1">
      <c r="A5" s="137" t="s">
        <v>112</v>
      </c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</row>
    <row r="6" spans="1:17" ht="14.45" customHeight="1">
      <c r="A6" s="122" t="s">
        <v>60</v>
      </c>
      <c r="C6" s="122" t="s">
        <v>72</v>
      </c>
      <c r="D6" s="122"/>
      <c r="E6" s="122"/>
      <c r="F6" s="122"/>
      <c r="G6" s="122"/>
      <c r="H6" s="122"/>
      <c r="I6" s="122"/>
      <c r="K6" s="122" t="s">
        <v>73</v>
      </c>
      <c r="L6" s="122"/>
      <c r="M6" s="122"/>
      <c r="N6" s="122"/>
      <c r="O6" s="122"/>
      <c r="P6" s="122"/>
      <c r="Q6" s="122"/>
    </row>
    <row r="7" spans="1:17" ht="29.1" customHeight="1">
      <c r="A7" s="122"/>
      <c r="C7" s="8" t="s">
        <v>5</v>
      </c>
      <c r="D7" s="3"/>
      <c r="E7" s="8" t="s">
        <v>7</v>
      </c>
      <c r="F7" s="3"/>
      <c r="G7" s="8" t="s">
        <v>105</v>
      </c>
      <c r="H7" s="3"/>
      <c r="I7" s="8" t="s">
        <v>113</v>
      </c>
      <c r="K7" s="8" t="s">
        <v>5</v>
      </c>
      <c r="L7" s="3"/>
      <c r="M7" s="8" t="s">
        <v>7</v>
      </c>
      <c r="N7" s="3"/>
      <c r="O7" s="8" t="s">
        <v>105</v>
      </c>
      <c r="P7" s="3"/>
      <c r="Q7" s="8" t="s">
        <v>113</v>
      </c>
    </row>
    <row r="8" spans="1:17" ht="21.75" customHeight="1">
      <c r="A8" s="5" t="s">
        <v>24</v>
      </c>
      <c r="C8" s="46">
        <v>198243</v>
      </c>
      <c r="D8" s="43"/>
      <c r="E8" s="46">
        <v>10405989767</v>
      </c>
      <c r="F8" s="43"/>
      <c r="G8" s="46">
        <v>7917600909</v>
      </c>
      <c r="H8" s="43"/>
      <c r="I8" s="47">
        <v>2488388858</v>
      </c>
      <c r="J8" s="43"/>
      <c r="K8" s="46">
        <v>198243</v>
      </c>
      <c r="L8" s="43"/>
      <c r="M8" s="46">
        <v>10405989767</v>
      </c>
      <c r="N8" s="43"/>
      <c r="O8" s="46">
        <v>7451396831</v>
      </c>
      <c r="P8" s="43"/>
      <c r="Q8" s="47">
        <v>2954592936</v>
      </c>
    </row>
    <row r="9" spans="1:17" ht="21.75" customHeight="1">
      <c r="A9" s="6" t="s">
        <v>167</v>
      </c>
      <c r="C9" s="47">
        <v>14119999</v>
      </c>
      <c r="D9" s="43"/>
      <c r="E9" s="47">
        <v>269708889598</v>
      </c>
      <c r="F9" s="43"/>
      <c r="G9" s="47">
        <v>220875881898</v>
      </c>
      <c r="H9" s="43"/>
      <c r="I9" s="47">
        <v>48833007700</v>
      </c>
      <c r="J9" s="43"/>
      <c r="K9" s="47">
        <v>14119999</v>
      </c>
      <c r="L9" s="43"/>
      <c r="M9" s="47">
        <v>269708889598</v>
      </c>
      <c r="N9" s="43"/>
      <c r="O9" s="47">
        <v>210609558390</v>
      </c>
      <c r="P9" s="43"/>
      <c r="Q9" s="47">
        <v>59099331208</v>
      </c>
    </row>
    <row r="10" spans="1:17" ht="21.75" customHeight="1">
      <c r="A10" s="6" t="s">
        <v>29</v>
      </c>
      <c r="C10" s="47">
        <v>5144153</v>
      </c>
      <c r="D10" s="43"/>
      <c r="E10" s="47">
        <v>13511316881</v>
      </c>
      <c r="F10" s="43"/>
      <c r="G10" s="47">
        <v>20358471359</v>
      </c>
      <c r="H10" s="43"/>
      <c r="I10" s="47">
        <v>-6847154478</v>
      </c>
      <c r="J10" s="43"/>
      <c r="K10" s="47">
        <v>5144153</v>
      </c>
      <c r="L10" s="43"/>
      <c r="M10" s="47">
        <v>13511316881</v>
      </c>
      <c r="N10" s="43"/>
      <c r="O10" s="47">
        <v>7001919852</v>
      </c>
      <c r="P10" s="43"/>
      <c r="Q10" s="47">
        <v>6509397029</v>
      </c>
    </row>
    <row r="11" spans="1:17" ht="21.75" customHeight="1">
      <c r="A11" s="6" t="s">
        <v>17</v>
      </c>
      <c r="C11" s="47">
        <v>1019446</v>
      </c>
      <c r="D11" s="43"/>
      <c r="E11" s="47">
        <v>61978629361</v>
      </c>
      <c r="F11" s="43"/>
      <c r="G11" s="47">
        <v>62120248557</v>
      </c>
      <c r="H11" s="43"/>
      <c r="I11" s="47">
        <v>-141619196</v>
      </c>
      <c r="J11" s="43"/>
      <c r="K11" s="47">
        <v>1019446</v>
      </c>
      <c r="L11" s="43"/>
      <c r="M11" s="47">
        <v>61978629361</v>
      </c>
      <c r="N11" s="43"/>
      <c r="O11" s="47">
        <v>61432383893</v>
      </c>
      <c r="P11" s="43"/>
      <c r="Q11" s="47">
        <v>546245468</v>
      </c>
    </row>
    <row r="12" spans="1:17" ht="21.75" customHeight="1">
      <c r="A12" s="6" t="s">
        <v>169</v>
      </c>
      <c r="C12" s="47">
        <v>1500000</v>
      </c>
      <c r="D12" s="43"/>
      <c r="E12" s="47">
        <v>8096923200</v>
      </c>
      <c r="F12" s="43"/>
      <c r="G12" s="47">
        <v>6906199200</v>
      </c>
      <c r="H12" s="43"/>
      <c r="I12" s="47">
        <v>1190724000</v>
      </c>
      <c r="J12" s="43"/>
      <c r="K12" s="47">
        <v>1500000</v>
      </c>
      <c r="L12" s="43"/>
      <c r="M12" s="47">
        <v>8096923200</v>
      </c>
      <c r="N12" s="43"/>
      <c r="O12" s="47">
        <v>6346863120</v>
      </c>
      <c r="P12" s="43"/>
      <c r="Q12" s="47">
        <v>1750060080</v>
      </c>
    </row>
    <row r="13" spans="1:17" ht="21.75" customHeight="1">
      <c r="A13" s="6" t="s">
        <v>210</v>
      </c>
      <c r="C13" s="47">
        <v>20000000</v>
      </c>
      <c r="D13" s="43"/>
      <c r="E13" s="47">
        <v>26434072800</v>
      </c>
      <c r="F13" s="43"/>
      <c r="G13" s="47">
        <v>20600027161</v>
      </c>
      <c r="H13" s="43"/>
      <c r="I13" s="47">
        <v>5834045639</v>
      </c>
      <c r="J13" s="43"/>
      <c r="K13" s="47">
        <v>20000000</v>
      </c>
      <c r="L13" s="43"/>
      <c r="M13" s="47">
        <v>26434072800</v>
      </c>
      <c r="N13" s="43"/>
      <c r="O13" s="47">
        <v>20600027161</v>
      </c>
      <c r="P13" s="43"/>
      <c r="Q13" s="47">
        <v>5834045639</v>
      </c>
    </row>
    <row r="14" spans="1:17" ht="21.75" customHeight="1">
      <c r="A14" s="6" t="s">
        <v>170</v>
      </c>
      <c r="C14" s="47">
        <v>30000</v>
      </c>
      <c r="D14" s="47"/>
      <c r="E14" s="47">
        <v>3968087730</v>
      </c>
      <c r="F14" s="47"/>
      <c r="G14" s="47">
        <v>3741850170</v>
      </c>
      <c r="H14" s="47"/>
      <c r="I14" s="47">
        <v>226237560</v>
      </c>
      <c r="J14" s="47"/>
      <c r="K14" s="47">
        <v>30000</v>
      </c>
      <c r="L14" s="47"/>
      <c r="M14" s="47">
        <v>3968087730</v>
      </c>
      <c r="N14" s="47"/>
      <c r="O14" s="47">
        <v>3600566424</v>
      </c>
      <c r="P14" s="47"/>
      <c r="Q14" s="47">
        <v>367521306</v>
      </c>
    </row>
    <row r="15" spans="1:17" ht="21.75" customHeight="1">
      <c r="A15" s="6" t="s">
        <v>22</v>
      </c>
      <c r="C15" s="47">
        <v>375619</v>
      </c>
      <c r="D15" s="47"/>
      <c r="E15" s="47">
        <v>2575463864</v>
      </c>
      <c r="F15" s="47"/>
      <c r="G15" s="47">
        <v>1830032933</v>
      </c>
      <c r="H15" s="47"/>
      <c r="I15" s="47">
        <v>745430931</v>
      </c>
      <c r="J15" s="47"/>
      <c r="K15" s="47">
        <v>375619</v>
      </c>
      <c r="L15" s="47"/>
      <c r="M15" s="47">
        <v>2575463864</v>
      </c>
      <c r="N15" s="47"/>
      <c r="O15" s="47">
        <v>1549378188</v>
      </c>
      <c r="P15" s="47"/>
      <c r="Q15" s="47">
        <v>1026085676</v>
      </c>
    </row>
    <row r="16" spans="1:17" ht="21.75" customHeight="1">
      <c r="A16" s="6" t="s">
        <v>171</v>
      </c>
      <c r="B16" s="6"/>
      <c r="C16" s="47">
        <v>1200000</v>
      </c>
      <c r="D16" s="47"/>
      <c r="E16" s="47">
        <v>9501977520</v>
      </c>
      <c r="F16" s="47"/>
      <c r="G16" s="47">
        <v>8739914160</v>
      </c>
      <c r="H16" s="47"/>
      <c r="I16" s="47">
        <v>762063360</v>
      </c>
      <c r="J16" s="47"/>
      <c r="K16" s="47">
        <v>1200000</v>
      </c>
      <c r="L16" s="47"/>
      <c r="M16" s="47">
        <v>9501977520</v>
      </c>
      <c r="N16" s="47"/>
      <c r="O16" s="47">
        <v>8013290658</v>
      </c>
      <c r="P16" s="47"/>
      <c r="Q16" s="47">
        <v>1488686862</v>
      </c>
    </row>
    <row r="17" spans="1:17" ht="21.75" customHeight="1">
      <c r="A17" s="6" t="s">
        <v>33</v>
      </c>
      <c r="B17" s="6"/>
      <c r="C17" s="47">
        <v>1043418</v>
      </c>
      <c r="D17" s="47"/>
      <c r="E17" s="47">
        <v>24320427379</v>
      </c>
      <c r="F17" s="47"/>
      <c r="G17" s="47">
        <v>19537099389</v>
      </c>
      <c r="H17" s="47"/>
      <c r="I17" s="47">
        <v>4783327990</v>
      </c>
      <c r="J17" s="47"/>
      <c r="K17" s="47">
        <v>1043418</v>
      </c>
      <c r="L17" s="47"/>
      <c r="M17" s="47">
        <v>24320427379</v>
      </c>
      <c r="N17" s="47"/>
      <c r="O17" s="47">
        <v>12724480736</v>
      </c>
      <c r="P17" s="47"/>
      <c r="Q17" s="47">
        <v>11595946643</v>
      </c>
    </row>
    <row r="18" spans="1:17" ht="21.75" customHeight="1">
      <c r="A18" s="6" t="s">
        <v>161</v>
      </c>
      <c r="B18" s="6"/>
      <c r="C18" s="47">
        <v>26000871</v>
      </c>
      <c r="D18" s="47"/>
      <c r="E18" s="47">
        <v>291538692219</v>
      </c>
      <c r="F18" s="47"/>
      <c r="G18" s="47">
        <v>300464335963</v>
      </c>
      <c r="H18" s="47"/>
      <c r="I18" s="47">
        <v>-8925643744</v>
      </c>
      <c r="J18" s="47"/>
      <c r="K18" s="47">
        <v>26000871</v>
      </c>
      <c r="L18" s="47"/>
      <c r="M18" s="47">
        <v>291538692219</v>
      </c>
      <c r="N18" s="47"/>
      <c r="O18" s="47">
        <v>298539809986</v>
      </c>
      <c r="P18" s="47"/>
      <c r="Q18" s="47">
        <v>-7001117767</v>
      </c>
    </row>
    <row r="19" spans="1:17" ht="21.75" customHeight="1">
      <c r="A19" s="6" t="s">
        <v>14</v>
      </c>
      <c r="C19" s="47">
        <v>2983927</v>
      </c>
      <c r="D19" s="47"/>
      <c r="E19" s="47">
        <v>16758474642</v>
      </c>
      <c r="F19" s="47"/>
      <c r="G19" s="47">
        <v>13294266986</v>
      </c>
      <c r="H19" s="47"/>
      <c r="I19" s="47">
        <v>3464207656</v>
      </c>
      <c r="J19" s="47"/>
      <c r="K19" s="47">
        <v>2983927</v>
      </c>
      <c r="L19" s="47"/>
      <c r="M19" s="47">
        <v>16758474642</v>
      </c>
      <c r="N19" s="47"/>
      <c r="O19" s="47">
        <v>12169139714</v>
      </c>
      <c r="P19" s="47"/>
      <c r="Q19" s="47">
        <v>4589334928</v>
      </c>
    </row>
    <row r="20" spans="1:17" ht="21.75" customHeight="1">
      <c r="A20" s="6" t="s">
        <v>213</v>
      </c>
      <c r="C20" s="47">
        <v>5000000</v>
      </c>
      <c r="D20" s="47"/>
      <c r="E20" s="47">
        <v>9902854600</v>
      </c>
      <c r="F20" s="47"/>
      <c r="G20" s="47">
        <v>7820779162</v>
      </c>
      <c r="H20" s="47"/>
      <c r="I20" s="47">
        <v>2082075438</v>
      </c>
      <c r="J20" s="47"/>
      <c r="K20" s="47">
        <v>5000000</v>
      </c>
      <c r="L20" s="47"/>
      <c r="M20" s="47">
        <v>9902854600</v>
      </c>
      <c r="N20" s="47"/>
      <c r="O20" s="47">
        <v>7820779162</v>
      </c>
      <c r="P20" s="47"/>
      <c r="Q20" s="47">
        <v>2082075438</v>
      </c>
    </row>
    <row r="21" spans="1:17" ht="21.75" customHeight="1">
      <c r="A21" s="6" t="s">
        <v>16</v>
      </c>
      <c r="C21" s="47">
        <v>138131</v>
      </c>
      <c r="D21" s="43"/>
      <c r="E21" s="47">
        <v>12679721014</v>
      </c>
      <c r="F21" s="43"/>
      <c r="G21" s="47">
        <v>12679721014</v>
      </c>
      <c r="H21" s="43"/>
      <c r="I21" s="47">
        <v>0</v>
      </c>
      <c r="J21" s="43"/>
      <c r="K21" s="47">
        <v>138131</v>
      </c>
      <c r="L21" s="43"/>
      <c r="M21" s="47">
        <v>12679721014</v>
      </c>
      <c r="N21" s="43"/>
      <c r="O21" s="47">
        <v>13707695369</v>
      </c>
      <c r="P21" s="43"/>
      <c r="Q21" s="47">
        <v>-1027974355</v>
      </c>
    </row>
    <row r="22" spans="1:17" ht="21.75" customHeight="1">
      <c r="A22" s="6" t="s">
        <v>150</v>
      </c>
      <c r="C22" s="47">
        <v>3373729</v>
      </c>
      <c r="D22" s="43"/>
      <c r="E22" s="47">
        <v>65613941466</v>
      </c>
      <c r="F22" s="43"/>
      <c r="G22" s="47">
        <v>60090318843</v>
      </c>
      <c r="H22" s="43"/>
      <c r="I22" s="47">
        <v>5523622623</v>
      </c>
      <c r="J22" s="43"/>
      <c r="K22" s="47">
        <v>3373729</v>
      </c>
      <c r="L22" s="43"/>
      <c r="M22" s="47">
        <v>65613941466</v>
      </c>
      <c r="N22" s="43"/>
      <c r="O22" s="47">
        <v>37744429782</v>
      </c>
      <c r="P22" s="43"/>
      <c r="Q22" s="47">
        <v>27869511684</v>
      </c>
    </row>
    <row r="23" spans="1:17" ht="21.75" customHeight="1">
      <c r="A23" s="6" t="s">
        <v>34</v>
      </c>
      <c r="C23" s="47">
        <v>1761676</v>
      </c>
      <c r="D23" s="43"/>
      <c r="E23" s="47">
        <v>14281635857</v>
      </c>
      <c r="F23" s="43"/>
      <c r="G23" s="47">
        <v>10995286358</v>
      </c>
      <c r="H23" s="43"/>
      <c r="I23" s="47">
        <v>3286349499</v>
      </c>
      <c r="J23" s="43"/>
      <c r="K23" s="47">
        <v>1761676</v>
      </c>
      <c r="L23" s="43"/>
      <c r="M23" s="47">
        <v>14281635857</v>
      </c>
      <c r="N23" s="43"/>
      <c r="O23" s="47">
        <v>10855441698</v>
      </c>
      <c r="P23" s="43"/>
      <c r="Q23" s="47">
        <v>3426194159</v>
      </c>
    </row>
    <row r="24" spans="1:17" ht="21.75" customHeight="1">
      <c r="A24" s="6" t="s">
        <v>31</v>
      </c>
      <c r="C24" s="47">
        <v>1200000</v>
      </c>
      <c r="D24" s="43"/>
      <c r="E24" s="47">
        <v>41401473480</v>
      </c>
      <c r="F24" s="43"/>
      <c r="G24" s="47">
        <v>34566717720</v>
      </c>
      <c r="H24" s="43"/>
      <c r="I24" s="47">
        <v>6834755760</v>
      </c>
      <c r="J24" s="43"/>
      <c r="K24" s="47">
        <v>1200000</v>
      </c>
      <c r="L24" s="43"/>
      <c r="M24" s="47">
        <v>41401473480</v>
      </c>
      <c r="N24" s="43"/>
      <c r="O24" s="47">
        <v>20766226560</v>
      </c>
      <c r="P24" s="43"/>
      <c r="Q24" s="47">
        <v>20635246920</v>
      </c>
    </row>
    <row r="25" spans="1:17" ht="21.75" customHeight="1">
      <c r="A25" s="6" t="s">
        <v>208</v>
      </c>
      <c r="C25" s="47">
        <v>39000000</v>
      </c>
      <c r="D25" s="43"/>
      <c r="E25" s="47">
        <v>52978287570</v>
      </c>
      <c r="F25" s="43"/>
      <c r="G25" s="47">
        <v>50525241246</v>
      </c>
      <c r="H25" s="43"/>
      <c r="I25" s="47">
        <v>2453046324</v>
      </c>
      <c r="J25" s="43"/>
      <c r="K25" s="47">
        <v>39000000</v>
      </c>
      <c r="L25" s="43"/>
      <c r="M25" s="47">
        <v>52978287570</v>
      </c>
      <c r="N25" s="43"/>
      <c r="O25" s="47">
        <v>50525241246</v>
      </c>
      <c r="P25" s="43"/>
      <c r="Q25" s="47">
        <v>2453046324</v>
      </c>
    </row>
    <row r="26" spans="1:17" ht="21.75" customHeight="1">
      <c r="A26" s="6" t="s">
        <v>159</v>
      </c>
      <c r="C26" s="47">
        <v>16542000</v>
      </c>
      <c r="D26" s="43"/>
      <c r="E26" s="47">
        <v>14854787957</v>
      </c>
      <c r="F26" s="43"/>
      <c r="G26" s="47">
        <v>10702839342</v>
      </c>
      <c r="H26" s="43"/>
      <c r="I26" s="47">
        <v>4151948615</v>
      </c>
      <c r="J26" s="43"/>
      <c r="K26" s="47">
        <v>16542000</v>
      </c>
      <c r="L26" s="43"/>
      <c r="M26" s="47">
        <v>14854787957</v>
      </c>
      <c r="N26" s="43"/>
      <c r="O26" s="47">
        <v>10393338600</v>
      </c>
      <c r="P26" s="43"/>
      <c r="Q26" s="47">
        <v>4461449357</v>
      </c>
    </row>
    <row r="27" spans="1:17" ht="21.75" customHeight="1">
      <c r="A27" s="6" t="s">
        <v>162</v>
      </c>
      <c r="C27" s="47">
        <v>4200000</v>
      </c>
      <c r="D27" s="43"/>
      <c r="E27" s="47">
        <v>50218784700</v>
      </c>
      <c r="F27" s="43"/>
      <c r="G27" s="47">
        <v>52082575820</v>
      </c>
      <c r="H27" s="43"/>
      <c r="I27" s="47">
        <v>-1863791120</v>
      </c>
      <c r="J27" s="43"/>
      <c r="K27" s="47">
        <v>4200000</v>
      </c>
      <c r="L27" s="43"/>
      <c r="M27" s="47">
        <v>50218784700</v>
      </c>
      <c r="N27" s="43"/>
      <c r="O27" s="47">
        <v>48935016302</v>
      </c>
      <c r="P27" s="43"/>
      <c r="Q27" s="47">
        <v>1283768398</v>
      </c>
    </row>
    <row r="28" spans="1:17" ht="21.75" customHeight="1">
      <c r="A28" s="6" t="s">
        <v>28</v>
      </c>
      <c r="C28" s="47">
        <v>11529785</v>
      </c>
      <c r="D28" s="43"/>
      <c r="E28" s="47">
        <v>337156243184</v>
      </c>
      <c r="F28" s="43"/>
      <c r="G28" s="47">
        <v>271870733562</v>
      </c>
      <c r="H28" s="43"/>
      <c r="I28" s="47">
        <v>65285509622</v>
      </c>
      <c r="J28" s="43"/>
      <c r="K28" s="47">
        <v>11529785</v>
      </c>
      <c r="L28" s="43"/>
      <c r="M28" s="47">
        <v>337156243184</v>
      </c>
      <c r="N28" s="43"/>
      <c r="O28" s="47">
        <v>310427977681</v>
      </c>
      <c r="P28" s="43"/>
      <c r="Q28" s="47">
        <v>26728265503</v>
      </c>
    </row>
    <row r="29" spans="1:17" ht="21.75" customHeight="1">
      <c r="A29" s="6" t="s">
        <v>135</v>
      </c>
      <c r="C29" s="47">
        <v>251585</v>
      </c>
      <c r="D29" s="43"/>
      <c r="E29" s="47">
        <v>14049753154</v>
      </c>
      <c r="F29" s="43"/>
      <c r="G29" s="47">
        <v>12539429654</v>
      </c>
      <c r="H29" s="43"/>
      <c r="I29" s="47">
        <v>1510323500</v>
      </c>
      <c r="J29" s="43"/>
      <c r="K29" s="47">
        <v>251585</v>
      </c>
      <c r="L29" s="43"/>
      <c r="M29" s="47">
        <v>14049753154</v>
      </c>
      <c r="N29" s="43"/>
      <c r="O29" s="47">
        <v>12344710247</v>
      </c>
      <c r="P29" s="43"/>
      <c r="Q29" s="47">
        <v>1705042907</v>
      </c>
    </row>
    <row r="30" spans="1:17" ht="21.75" customHeight="1">
      <c r="A30" s="6" t="s">
        <v>12</v>
      </c>
      <c r="C30" s="47">
        <v>16192687</v>
      </c>
      <c r="D30" s="43"/>
      <c r="E30" s="47">
        <v>168548258884</v>
      </c>
      <c r="F30" s="43"/>
      <c r="G30" s="47">
        <v>168226908533</v>
      </c>
      <c r="H30" s="43"/>
      <c r="I30" s="47">
        <v>321350351</v>
      </c>
      <c r="J30" s="43"/>
      <c r="K30" s="47">
        <v>16192687</v>
      </c>
      <c r="L30" s="43"/>
      <c r="M30" s="47">
        <v>168548258884</v>
      </c>
      <c r="N30" s="43"/>
      <c r="O30" s="47">
        <v>209391888460</v>
      </c>
      <c r="P30" s="43"/>
      <c r="Q30" s="47">
        <v>-40843629576</v>
      </c>
    </row>
    <row r="31" spans="1:17" ht="21.75" customHeight="1">
      <c r="A31" s="6" t="s">
        <v>25</v>
      </c>
      <c r="C31" s="47">
        <v>40131445</v>
      </c>
      <c r="D31" s="43"/>
      <c r="E31" s="47">
        <v>381885585440</v>
      </c>
      <c r="F31" s="43"/>
      <c r="G31" s="47">
        <v>332055434058</v>
      </c>
      <c r="H31" s="43"/>
      <c r="I31" s="47">
        <v>49830151382</v>
      </c>
      <c r="J31" s="43"/>
      <c r="K31" s="47">
        <v>40131445</v>
      </c>
      <c r="L31" s="43"/>
      <c r="M31" s="47">
        <v>381885585440</v>
      </c>
      <c r="N31" s="43"/>
      <c r="O31" s="47">
        <v>335180892925</v>
      </c>
      <c r="P31" s="43"/>
      <c r="Q31" s="47">
        <v>46704692515</v>
      </c>
    </row>
    <row r="32" spans="1:17" ht="21.75" customHeight="1">
      <c r="A32" s="6" t="s">
        <v>23</v>
      </c>
      <c r="B32" s="6"/>
      <c r="C32" s="6">
        <v>7406569</v>
      </c>
      <c r="D32" s="43"/>
      <c r="E32" s="47">
        <v>278098125826</v>
      </c>
      <c r="F32" s="43"/>
      <c r="G32" s="47">
        <v>205649003202</v>
      </c>
      <c r="H32" s="43"/>
      <c r="I32" s="47">
        <v>72449122624</v>
      </c>
      <c r="J32" s="43"/>
      <c r="K32" s="47">
        <v>7406569</v>
      </c>
      <c r="L32" s="43"/>
      <c r="M32" s="47">
        <v>278098125826</v>
      </c>
      <c r="N32" s="43"/>
      <c r="O32" s="47">
        <v>159437299392</v>
      </c>
      <c r="P32" s="43"/>
      <c r="Q32" s="47">
        <v>118660826434</v>
      </c>
    </row>
    <row r="33" spans="1:17" ht="21.75" customHeight="1">
      <c r="A33" s="6" t="s">
        <v>19</v>
      </c>
      <c r="B33" s="6"/>
      <c r="C33" s="6">
        <v>6054099</v>
      </c>
      <c r="D33" s="43"/>
      <c r="E33" s="47">
        <v>70886149613</v>
      </c>
      <c r="F33" s="43"/>
      <c r="G33" s="47">
        <v>50100888794</v>
      </c>
      <c r="H33" s="43"/>
      <c r="I33" s="47">
        <v>20785260819</v>
      </c>
      <c r="J33" s="43"/>
      <c r="K33" s="47">
        <v>6054099</v>
      </c>
      <c r="L33" s="43"/>
      <c r="M33" s="47">
        <v>70886149613</v>
      </c>
      <c r="N33" s="43"/>
      <c r="O33" s="47">
        <v>60793884245</v>
      </c>
      <c r="P33" s="43"/>
      <c r="Q33" s="47">
        <v>10092265368</v>
      </c>
    </row>
    <row r="34" spans="1:17" ht="21.75" customHeight="1">
      <c r="A34" s="6" t="s">
        <v>21</v>
      </c>
      <c r="B34" s="6"/>
      <c r="C34" s="6">
        <v>3144957</v>
      </c>
      <c r="D34" s="43"/>
      <c r="E34" s="47">
        <v>22999164575</v>
      </c>
      <c r="F34" s="43"/>
      <c r="G34" s="47">
        <v>18723878894</v>
      </c>
      <c r="H34" s="43"/>
      <c r="I34" s="47">
        <v>4275285681</v>
      </c>
      <c r="J34" s="43"/>
      <c r="K34" s="47">
        <v>3144957</v>
      </c>
      <c r="L34" s="43"/>
      <c r="M34" s="47">
        <v>22999164575</v>
      </c>
      <c r="N34" s="43"/>
      <c r="O34" s="47">
        <v>18865105706</v>
      </c>
      <c r="P34" s="43"/>
      <c r="Q34" s="47">
        <v>4134058869</v>
      </c>
    </row>
    <row r="35" spans="1:17" ht="21.75" customHeight="1">
      <c r="A35" s="6" t="s">
        <v>27</v>
      </c>
      <c r="B35" s="6"/>
      <c r="C35" s="6">
        <v>40955535</v>
      </c>
      <c r="D35" s="43"/>
      <c r="E35" s="47">
        <v>89446326120</v>
      </c>
      <c r="F35" s="43"/>
      <c r="G35" s="47">
        <v>71607271733</v>
      </c>
      <c r="H35" s="43"/>
      <c r="I35" s="47">
        <v>17839054387</v>
      </c>
      <c r="J35" s="43"/>
      <c r="K35" s="47">
        <v>40955535</v>
      </c>
      <c r="L35" s="43"/>
      <c r="M35" s="47">
        <v>89446326120</v>
      </c>
      <c r="N35" s="43"/>
      <c r="O35" s="47">
        <v>60496301512</v>
      </c>
      <c r="P35" s="43"/>
      <c r="Q35" s="47">
        <v>28950024608</v>
      </c>
    </row>
    <row r="36" spans="1:17" ht="21.75" customHeight="1">
      <c r="A36" s="6" t="s">
        <v>172</v>
      </c>
      <c r="B36" s="6"/>
      <c r="C36" s="47">
        <v>200000</v>
      </c>
      <c r="D36" s="47"/>
      <c r="E36" s="47">
        <v>3873822080</v>
      </c>
      <c r="F36" s="47"/>
      <c r="G36" s="47">
        <v>3570114101</v>
      </c>
      <c r="H36" s="47"/>
      <c r="I36" s="47">
        <v>303707979</v>
      </c>
      <c r="J36" s="47"/>
      <c r="K36" s="47">
        <v>200000</v>
      </c>
      <c r="L36" s="47"/>
      <c r="M36" s="47">
        <v>3873822080</v>
      </c>
      <c r="N36" s="47"/>
      <c r="O36" s="47">
        <v>2754688237</v>
      </c>
      <c r="P36" s="47"/>
      <c r="Q36" s="47">
        <v>1119133843</v>
      </c>
    </row>
    <row r="37" spans="1:17" ht="21.75" customHeight="1">
      <c r="A37" s="6" t="s">
        <v>198</v>
      </c>
      <c r="B37" s="6"/>
      <c r="C37" s="47">
        <v>1600000</v>
      </c>
      <c r="D37" s="47"/>
      <c r="E37" s="47">
        <v>20242308000</v>
      </c>
      <c r="F37" s="47"/>
      <c r="G37" s="47">
        <v>21130722212</v>
      </c>
      <c r="H37" s="47"/>
      <c r="I37" s="47">
        <v>-888414212</v>
      </c>
      <c r="J37" s="47"/>
      <c r="K37" s="47">
        <v>1600000</v>
      </c>
      <c r="L37" s="47"/>
      <c r="M37" s="47">
        <v>20242308000</v>
      </c>
      <c r="N37" s="47"/>
      <c r="O37" s="47">
        <v>21130722212</v>
      </c>
      <c r="P37" s="47"/>
      <c r="Q37" s="47">
        <v>-888414212</v>
      </c>
    </row>
    <row r="38" spans="1:17" ht="21.75" customHeight="1">
      <c r="A38" s="6" t="s">
        <v>214</v>
      </c>
      <c r="B38" s="6"/>
      <c r="C38" s="47">
        <v>810000</v>
      </c>
      <c r="D38" s="47"/>
      <c r="E38" s="47">
        <v>41697963756</v>
      </c>
      <c r="F38" s="47"/>
      <c r="G38" s="47">
        <v>28206241596</v>
      </c>
      <c r="H38" s="47"/>
      <c r="I38" s="47">
        <v>13491722160</v>
      </c>
      <c r="J38" s="47"/>
      <c r="K38" s="47">
        <v>810000</v>
      </c>
      <c r="L38" s="47"/>
      <c r="M38" s="47">
        <v>41697963756</v>
      </c>
      <c r="N38" s="47"/>
      <c r="O38" s="47">
        <v>28206241596</v>
      </c>
      <c r="P38" s="47"/>
      <c r="Q38" s="47">
        <v>13491722160</v>
      </c>
    </row>
    <row r="39" spans="1:17" ht="21.75" customHeight="1">
      <c r="A39" s="6" t="s">
        <v>30</v>
      </c>
      <c r="B39" s="6"/>
      <c r="C39" s="47">
        <v>392907</v>
      </c>
      <c r="D39" s="47"/>
      <c r="E39" s="47">
        <v>14998292317</v>
      </c>
      <c r="F39" s="47"/>
      <c r="G39" s="47">
        <v>13290662466</v>
      </c>
      <c r="H39" s="47"/>
      <c r="I39" s="47">
        <v>1707629851</v>
      </c>
      <c r="J39" s="47"/>
      <c r="K39" s="47">
        <v>392907</v>
      </c>
      <c r="L39" s="47"/>
      <c r="M39" s="47">
        <v>14998292317</v>
      </c>
      <c r="N39" s="47"/>
      <c r="O39" s="47">
        <v>8343214338</v>
      </c>
      <c r="P39" s="47"/>
      <c r="Q39" s="47">
        <v>6655077979</v>
      </c>
    </row>
    <row r="40" spans="1:17" ht="21.75" customHeight="1">
      <c r="A40" s="6" t="s">
        <v>11</v>
      </c>
      <c r="B40" s="6"/>
      <c r="C40" s="47">
        <v>18460361</v>
      </c>
      <c r="D40" s="47"/>
      <c r="E40" s="47">
        <v>42478659127</v>
      </c>
      <c r="F40" s="47"/>
      <c r="G40" s="47">
        <v>34492158317</v>
      </c>
      <c r="H40" s="47"/>
      <c r="I40" s="47">
        <v>7986500810</v>
      </c>
      <c r="J40" s="47"/>
      <c r="K40" s="47">
        <v>18460361</v>
      </c>
      <c r="L40" s="47"/>
      <c r="M40" s="47">
        <v>42478659127</v>
      </c>
      <c r="N40" s="47"/>
      <c r="O40" s="47">
        <v>43756307543</v>
      </c>
      <c r="P40" s="47"/>
      <c r="Q40" s="47">
        <v>-1277648416</v>
      </c>
    </row>
    <row r="41" spans="1:17" ht="21.75" customHeight="1">
      <c r="A41" s="6" t="s">
        <v>15</v>
      </c>
      <c r="B41" s="6"/>
      <c r="C41" s="47">
        <v>4368968</v>
      </c>
      <c r="D41" s="47"/>
      <c r="E41" s="47">
        <v>149087386222</v>
      </c>
      <c r="F41" s="47"/>
      <c r="G41" s="47">
        <v>130353921037</v>
      </c>
      <c r="H41" s="47"/>
      <c r="I41" s="47">
        <v>18733465185</v>
      </c>
      <c r="J41" s="47"/>
      <c r="K41" s="47">
        <v>4368968</v>
      </c>
      <c r="L41" s="47"/>
      <c r="M41" s="47">
        <v>149087386222</v>
      </c>
      <c r="N41" s="47"/>
      <c r="O41" s="47">
        <v>123553082495</v>
      </c>
      <c r="P41" s="47"/>
      <c r="Q41" s="47">
        <v>25534303727</v>
      </c>
    </row>
    <row r="42" spans="1:17">
      <c r="A42" s="6" t="s">
        <v>148</v>
      </c>
      <c r="B42" s="6"/>
      <c r="C42" s="47">
        <v>10000</v>
      </c>
      <c r="D42" s="47"/>
      <c r="E42" s="47">
        <v>2341757200</v>
      </c>
      <c r="F42" s="47"/>
      <c r="G42" s="47">
        <v>1715634830</v>
      </c>
      <c r="H42" s="47"/>
      <c r="I42" s="47">
        <v>626122370</v>
      </c>
      <c r="J42" s="47"/>
      <c r="K42" s="47">
        <v>10000</v>
      </c>
      <c r="L42" s="47"/>
      <c r="M42" s="47">
        <v>2341757200</v>
      </c>
      <c r="N42" s="47"/>
      <c r="O42" s="47">
        <v>1932148145</v>
      </c>
      <c r="P42" s="47"/>
      <c r="Q42" s="47">
        <v>409609055</v>
      </c>
    </row>
    <row r="43" spans="1:17">
      <c r="A43" s="6" t="s">
        <v>35</v>
      </c>
      <c r="B43" s="6"/>
      <c r="C43" s="47">
        <v>9149078</v>
      </c>
      <c r="D43" s="47"/>
      <c r="E43" s="47">
        <v>89331019370</v>
      </c>
      <c r="F43" s="47"/>
      <c r="G43" s="47">
        <v>86768251332</v>
      </c>
      <c r="H43" s="47"/>
      <c r="I43" s="47">
        <v>2562768038</v>
      </c>
      <c r="J43" s="47"/>
      <c r="K43" s="47">
        <v>9149078</v>
      </c>
      <c r="L43" s="47"/>
      <c r="M43" s="47">
        <v>89331019370</v>
      </c>
      <c r="N43" s="47"/>
      <c r="O43" s="47">
        <v>66402187480</v>
      </c>
      <c r="P43" s="47"/>
      <c r="Q43" s="47">
        <v>22928831890</v>
      </c>
    </row>
    <row r="44" spans="1:17">
      <c r="A44" s="6" t="s">
        <v>207</v>
      </c>
      <c r="B44" s="6"/>
      <c r="C44" s="47">
        <v>300000</v>
      </c>
      <c r="D44" s="47"/>
      <c r="E44" s="47">
        <v>6554935620</v>
      </c>
      <c r="F44" s="47"/>
      <c r="G44" s="47">
        <v>6028015934</v>
      </c>
      <c r="H44" s="47"/>
      <c r="I44" s="47">
        <v>526919686</v>
      </c>
      <c r="J44" s="47"/>
      <c r="K44" s="47">
        <v>300000</v>
      </c>
      <c r="L44" s="47"/>
      <c r="M44" s="47">
        <v>6554935620</v>
      </c>
      <c r="N44" s="47"/>
      <c r="O44" s="47">
        <v>6028015934</v>
      </c>
      <c r="P44" s="47"/>
      <c r="Q44" s="47">
        <v>526919686</v>
      </c>
    </row>
    <row r="45" spans="1:17">
      <c r="A45" s="6" t="s">
        <v>164</v>
      </c>
      <c r="B45" s="6"/>
      <c r="C45" s="47">
        <v>800000</v>
      </c>
      <c r="D45" s="47"/>
      <c r="E45" s="47">
        <v>8215995600</v>
      </c>
      <c r="F45" s="47"/>
      <c r="G45" s="47">
        <v>7604757280</v>
      </c>
      <c r="H45" s="47"/>
      <c r="I45" s="47">
        <v>611238320</v>
      </c>
      <c r="J45" s="47"/>
      <c r="K45" s="47">
        <v>800000</v>
      </c>
      <c r="L45" s="47"/>
      <c r="M45" s="47">
        <v>8215995600</v>
      </c>
      <c r="N45" s="47"/>
      <c r="O45" s="47">
        <v>12496954816</v>
      </c>
      <c r="P45" s="47"/>
      <c r="Q45" s="47">
        <v>-4280959216</v>
      </c>
    </row>
    <row r="46" spans="1:17">
      <c r="A46" s="6" t="s">
        <v>13</v>
      </c>
      <c r="B46" s="6"/>
      <c r="C46" s="47">
        <v>4041021</v>
      </c>
      <c r="D46" s="47"/>
      <c r="E46" s="47">
        <v>30835238249</v>
      </c>
      <c r="F46" s="47"/>
      <c r="G46" s="47">
        <v>34604435123</v>
      </c>
      <c r="H46" s="47"/>
      <c r="I46" s="47">
        <v>-3769196874</v>
      </c>
      <c r="J46" s="47"/>
      <c r="K46" s="47">
        <v>4041021</v>
      </c>
      <c r="L46" s="47"/>
      <c r="M46" s="47">
        <v>30835238249</v>
      </c>
      <c r="N46" s="47"/>
      <c r="O46" s="47">
        <v>30232241239</v>
      </c>
      <c r="P46" s="47"/>
      <c r="Q46" s="47">
        <v>602997010</v>
      </c>
    </row>
    <row r="47" spans="1:17">
      <c r="A47" s="6" t="s">
        <v>18</v>
      </c>
      <c r="B47" s="6"/>
      <c r="C47" s="47">
        <v>1659644</v>
      </c>
      <c r="D47" s="47"/>
      <c r="E47" s="47">
        <v>50573687172</v>
      </c>
      <c r="F47" s="47"/>
      <c r="G47" s="47">
        <v>43442978430</v>
      </c>
      <c r="H47" s="47"/>
      <c r="I47" s="47">
        <v>7130708742</v>
      </c>
      <c r="J47" s="47"/>
      <c r="K47" s="47">
        <v>1659644</v>
      </c>
      <c r="L47" s="47"/>
      <c r="M47" s="47">
        <v>50573687172</v>
      </c>
      <c r="N47" s="47"/>
      <c r="O47" s="47">
        <v>58214908561</v>
      </c>
      <c r="P47" s="47"/>
      <c r="Q47" s="47">
        <v>-7641221389</v>
      </c>
    </row>
    <row r="48" spans="1:17">
      <c r="A48" s="6" t="s">
        <v>201</v>
      </c>
      <c r="B48" s="6"/>
      <c r="C48" s="47">
        <v>18219000</v>
      </c>
      <c r="D48" s="47"/>
      <c r="E48" s="47">
        <v>52119355835</v>
      </c>
      <c r="F48" s="47"/>
      <c r="G48" s="47">
        <v>51656346744</v>
      </c>
      <c r="H48" s="47"/>
      <c r="I48" s="47">
        <v>463009091</v>
      </c>
      <c r="J48" s="47"/>
      <c r="K48" s="47">
        <v>18219000</v>
      </c>
      <c r="L48" s="47"/>
      <c r="M48" s="47">
        <v>52119355835</v>
      </c>
      <c r="N48" s="47"/>
      <c r="O48" s="47">
        <v>51656346744</v>
      </c>
      <c r="P48" s="47"/>
      <c r="Q48" s="47">
        <v>463009091</v>
      </c>
    </row>
    <row r="49" spans="1:17">
      <c r="A49" s="6" t="s">
        <v>26</v>
      </c>
      <c r="B49" s="6"/>
      <c r="C49" s="47">
        <v>19612437</v>
      </c>
      <c r="D49" s="47"/>
      <c r="E49" s="47">
        <v>168141595927</v>
      </c>
      <c r="F49" s="47"/>
      <c r="G49" s="47">
        <v>102169372525</v>
      </c>
      <c r="H49" s="47"/>
      <c r="I49" s="47">
        <v>65972223402</v>
      </c>
      <c r="J49" s="47"/>
      <c r="K49" s="47">
        <v>19612437</v>
      </c>
      <c r="L49" s="47"/>
      <c r="M49" s="47">
        <v>168141595927</v>
      </c>
      <c r="N49" s="47"/>
      <c r="O49" s="47">
        <v>71375002828</v>
      </c>
      <c r="P49" s="47"/>
      <c r="Q49" s="47">
        <v>96766593099</v>
      </c>
    </row>
    <row r="50" spans="1:17">
      <c r="A50" s="6" t="s">
        <v>32</v>
      </c>
      <c r="B50" s="6"/>
      <c r="C50" s="47">
        <v>3114035</v>
      </c>
      <c r="D50" s="47"/>
      <c r="E50" s="47">
        <v>23051127780</v>
      </c>
      <c r="F50" s="47"/>
      <c r="G50" s="47">
        <v>14739125940</v>
      </c>
      <c r="H50" s="47"/>
      <c r="I50" s="47">
        <v>8312001840</v>
      </c>
      <c r="J50" s="47"/>
      <c r="K50" s="47">
        <v>3114035</v>
      </c>
      <c r="L50" s="47"/>
      <c r="M50" s="47">
        <v>23051127780</v>
      </c>
      <c r="N50" s="47"/>
      <c r="O50" s="47">
        <v>10243229033</v>
      </c>
      <c r="P50" s="47"/>
      <c r="Q50" s="47">
        <v>12807898747</v>
      </c>
    </row>
    <row r="51" spans="1:17" ht="19.5" customHeight="1">
      <c r="A51" s="6" t="s">
        <v>206</v>
      </c>
      <c r="B51" s="6"/>
      <c r="C51" s="47">
        <v>1500000</v>
      </c>
      <c r="D51" s="47"/>
      <c r="E51" s="47">
        <v>8573212800</v>
      </c>
      <c r="F51" s="47"/>
      <c r="G51" s="47">
        <v>7730385200</v>
      </c>
      <c r="H51" s="47"/>
      <c r="I51" s="47">
        <v>842827600</v>
      </c>
      <c r="J51" s="47"/>
      <c r="K51" s="47">
        <v>1500000</v>
      </c>
      <c r="L51" s="47"/>
      <c r="M51" s="47">
        <v>8573212800</v>
      </c>
      <c r="N51" s="47"/>
      <c r="O51" s="47">
        <v>7730385200</v>
      </c>
      <c r="P51" s="47"/>
      <c r="Q51" s="47">
        <v>842827600</v>
      </c>
    </row>
    <row r="52" spans="1:17">
      <c r="A52" s="6" t="s">
        <v>20</v>
      </c>
      <c r="B52" s="6"/>
      <c r="C52" s="47">
        <v>1600000</v>
      </c>
      <c r="D52" s="47"/>
      <c r="E52" s="47">
        <v>3956378944</v>
      </c>
      <c r="F52" s="47"/>
      <c r="G52" s="47">
        <v>3465800656</v>
      </c>
      <c r="H52" s="47"/>
      <c r="I52" s="47">
        <v>490578288</v>
      </c>
      <c r="J52" s="47"/>
      <c r="K52" s="47">
        <v>1600000</v>
      </c>
      <c r="L52" s="47"/>
      <c r="M52" s="47">
        <v>3956378944</v>
      </c>
      <c r="N52" s="47"/>
      <c r="O52" s="47">
        <v>2632293856</v>
      </c>
      <c r="P52" s="47"/>
      <c r="Q52" s="47">
        <v>1324085088</v>
      </c>
    </row>
    <row r="53" spans="1:17">
      <c r="A53" s="6" t="s">
        <v>168</v>
      </c>
      <c r="B53" s="6"/>
      <c r="C53" s="47">
        <v>219000</v>
      </c>
      <c r="D53" s="47"/>
      <c r="E53" s="47">
        <v>5958561504</v>
      </c>
      <c r="F53" s="47"/>
      <c r="G53" s="47">
        <v>5908580864</v>
      </c>
      <c r="H53" s="47"/>
      <c r="I53" s="47">
        <v>49980640</v>
      </c>
      <c r="J53" s="47"/>
      <c r="K53" s="47">
        <v>219000</v>
      </c>
      <c r="L53" s="47"/>
      <c r="M53" s="47">
        <v>5958561504</v>
      </c>
      <c r="N53" s="47"/>
      <c r="O53" s="47">
        <v>5296465925</v>
      </c>
      <c r="P53" s="47"/>
      <c r="Q53" s="47">
        <v>662095579</v>
      </c>
    </row>
    <row r="54" spans="1:17">
      <c r="A54" s="6" t="s">
        <v>199</v>
      </c>
      <c r="B54" s="6"/>
      <c r="C54" s="47">
        <v>305</v>
      </c>
      <c r="D54" s="47"/>
      <c r="E54" s="47">
        <v>10265628</v>
      </c>
      <c r="F54" s="47"/>
      <c r="G54" s="47">
        <v>10071627</v>
      </c>
      <c r="H54" s="47"/>
      <c r="I54" s="47">
        <v>194001</v>
      </c>
      <c r="J54" s="47"/>
      <c r="K54" s="47">
        <v>305</v>
      </c>
      <c r="L54" s="47"/>
      <c r="M54" s="47">
        <v>10265628</v>
      </c>
      <c r="N54" s="47"/>
      <c r="O54" s="47">
        <v>10071627</v>
      </c>
      <c r="P54" s="47"/>
      <c r="Q54" s="47">
        <v>194001</v>
      </c>
    </row>
    <row r="55" spans="1:17">
      <c r="A55" s="6" t="s">
        <v>202</v>
      </c>
      <c r="B55" s="6"/>
      <c r="C55" s="47">
        <v>5343</v>
      </c>
      <c r="D55" s="47"/>
      <c r="E55" s="47">
        <v>149244950400</v>
      </c>
      <c r="F55" s="47"/>
      <c r="G55" s="47">
        <v>134986482541</v>
      </c>
      <c r="H55" s="47"/>
      <c r="I55" s="47">
        <v>14258467859</v>
      </c>
      <c r="J55" s="47"/>
      <c r="K55" s="47">
        <v>5343</v>
      </c>
      <c r="L55" s="47"/>
      <c r="M55" s="47">
        <v>149244950400</v>
      </c>
      <c r="N55" s="47"/>
      <c r="O55" s="47">
        <v>134986482541</v>
      </c>
      <c r="P55" s="47"/>
      <c r="Q55" s="47">
        <v>14258467859</v>
      </c>
    </row>
    <row r="56" spans="1:17">
      <c r="A56" s="6" t="s">
        <v>49</v>
      </c>
      <c r="B56" s="6"/>
      <c r="C56" s="47">
        <v>620500</v>
      </c>
      <c r="D56" s="47"/>
      <c r="E56" s="47">
        <v>620176103125</v>
      </c>
      <c r="F56" s="47"/>
      <c r="G56" s="47">
        <v>619538176263</v>
      </c>
      <c r="H56" s="47"/>
      <c r="I56" s="47">
        <v>637926862</v>
      </c>
      <c r="J56" s="47"/>
      <c r="K56" s="47">
        <v>0</v>
      </c>
      <c r="L56" s="47"/>
      <c r="M56" s="47">
        <v>0</v>
      </c>
      <c r="N56" s="47"/>
      <c r="O56" s="47">
        <v>0</v>
      </c>
      <c r="P56" s="47"/>
      <c r="Q56" s="47">
        <v>0</v>
      </c>
    </row>
    <row r="57" spans="1:17">
      <c r="A57" s="6" t="s">
        <v>200</v>
      </c>
      <c r="B57" s="6"/>
      <c r="C57" s="47">
        <v>8197000</v>
      </c>
      <c r="D57" s="47"/>
      <c r="E57" s="47">
        <v>26210727200</v>
      </c>
      <c r="F57" s="47"/>
      <c r="G57" s="47">
        <v>25969578548</v>
      </c>
      <c r="H57" s="47"/>
      <c r="I57" s="47">
        <v>241148652</v>
      </c>
      <c r="J57" s="47"/>
      <c r="K57" s="47">
        <v>8197000</v>
      </c>
      <c r="L57" s="47"/>
      <c r="M57" s="47">
        <v>26210727200</v>
      </c>
      <c r="N57" s="47"/>
      <c r="O57" s="47">
        <v>25969578549</v>
      </c>
      <c r="P57" s="47"/>
      <c r="Q57" s="47">
        <v>241148651</v>
      </c>
    </row>
    <row r="58" spans="1:17">
      <c r="A58" s="6" t="s">
        <v>203</v>
      </c>
      <c r="B58" s="6"/>
      <c r="C58" s="47">
        <v>39000000</v>
      </c>
      <c r="D58" s="47"/>
      <c r="E58" s="47">
        <v>155883000</v>
      </c>
      <c r="F58" s="47"/>
      <c r="G58" s="47">
        <v>468350844</v>
      </c>
      <c r="H58" s="47"/>
      <c r="I58" s="47">
        <v>-312467844</v>
      </c>
      <c r="J58" s="47"/>
      <c r="K58" s="47">
        <v>39000000</v>
      </c>
      <c r="L58" s="47"/>
      <c r="M58" s="47">
        <v>155883000</v>
      </c>
      <c r="N58" s="47"/>
      <c r="O58" s="47">
        <v>468350844</v>
      </c>
      <c r="P58" s="47"/>
      <c r="Q58" s="47">
        <v>-312467844</v>
      </c>
    </row>
    <row r="59" spans="1:17">
      <c r="A59" s="6" t="s">
        <v>209</v>
      </c>
      <c r="B59" s="6"/>
      <c r="C59" s="47">
        <v>18613000</v>
      </c>
      <c r="D59" s="47"/>
      <c r="E59" s="47">
        <v>13447106100</v>
      </c>
      <c r="F59" s="47"/>
      <c r="G59" s="47">
        <v>10950235417</v>
      </c>
      <c r="H59" s="47"/>
      <c r="I59" s="47">
        <v>2496870683</v>
      </c>
      <c r="J59" s="47"/>
      <c r="K59" s="47">
        <v>18613000</v>
      </c>
      <c r="L59" s="47"/>
      <c r="M59" s="47">
        <v>13447106100</v>
      </c>
      <c r="N59" s="47"/>
      <c r="O59" s="47">
        <v>10950235417</v>
      </c>
      <c r="P59" s="47"/>
      <c r="Q59" s="47">
        <v>2496870683</v>
      </c>
    </row>
    <row r="60" spans="1:17">
      <c r="A60" s="6" t="s">
        <v>204</v>
      </c>
      <c r="B60" s="6"/>
      <c r="C60" s="47">
        <v>25000000</v>
      </c>
      <c r="D60" s="47"/>
      <c r="E60" s="47">
        <v>1748687500</v>
      </c>
      <c r="F60" s="47"/>
      <c r="G60" s="47">
        <v>1776331250</v>
      </c>
      <c r="H60" s="47"/>
      <c r="I60" s="47">
        <v>-27643750</v>
      </c>
      <c r="J60" s="47"/>
      <c r="K60" s="47">
        <v>25000000</v>
      </c>
      <c r="L60" s="47"/>
      <c r="M60" s="47">
        <v>1748687500</v>
      </c>
      <c r="N60" s="47"/>
      <c r="O60" s="47">
        <v>1776331250</v>
      </c>
      <c r="P60" s="47"/>
      <c r="Q60" s="47">
        <v>-27643750</v>
      </c>
    </row>
    <row r="61" spans="1:17">
      <c r="A61" s="6" t="s">
        <v>205</v>
      </c>
      <c r="B61" s="6"/>
      <c r="C61" s="47">
        <v>18219000</v>
      </c>
      <c r="D61" s="47"/>
      <c r="E61" s="47">
        <v>54616007</v>
      </c>
      <c r="F61" s="47"/>
      <c r="G61" s="47">
        <v>218791824</v>
      </c>
      <c r="H61" s="47"/>
      <c r="I61" s="47">
        <v>-164175817</v>
      </c>
      <c r="J61" s="47"/>
      <c r="K61" s="47">
        <v>18219000</v>
      </c>
      <c r="L61" s="47"/>
      <c r="M61" s="47">
        <v>54616007</v>
      </c>
      <c r="N61" s="47"/>
      <c r="O61" s="47">
        <v>218791823</v>
      </c>
      <c r="P61" s="47"/>
      <c r="Q61" s="47">
        <v>-164175816</v>
      </c>
    </row>
    <row r="62" spans="1:17">
      <c r="A62" s="6" t="s">
        <v>175</v>
      </c>
      <c r="B62" s="6"/>
      <c r="C62" s="47">
        <v>35961000</v>
      </c>
      <c r="D62" s="47"/>
      <c r="E62" s="47">
        <v>1270512168</v>
      </c>
      <c r="F62" s="47"/>
      <c r="G62" s="47">
        <v>4968702501</v>
      </c>
      <c r="H62" s="47"/>
      <c r="I62" s="47">
        <v>-3698190333</v>
      </c>
      <c r="J62" s="47"/>
      <c r="K62" s="47">
        <v>0</v>
      </c>
      <c r="L62" s="47"/>
      <c r="M62" s="47">
        <v>0</v>
      </c>
      <c r="N62" s="47"/>
      <c r="O62" s="47">
        <v>0</v>
      </c>
      <c r="P62" s="47"/>
      <c r="Q62" s="47">
        <v>0</v>
      </c>
    </row>
    <row r="63" spans="1:17">
      <c r="A63" s="6" t="s">
        <v>176</v>
      </c>
      <c r="B63" s="6"/>
      <c r="C63" s="47">
        <v>4000000</v>
      </c>
      <c r="D63" s="47"/>
      <c r="E63" s="47">
        <v>720540000</v>
      </c>
      <c r="F63" s="47"/>
      <c r="G63" s="47">
        <v>1057369000</v>
      </c>
      <c r="H63" s="47"/>
      <c r="I63" s="47">
        <v>-336829000</v>
      </c>
      <c r="J63" s="47"/>
      <c r="K63" s="47">
        <v>0</v>
      </c>
      <c r="L63" s="47"/>
      <c r="M63" s="47">
        <v>0</v>
      </c>
      <c r="N63" s="47"/>
      <c r="O63" s="47">
        <v>0</v>
      </c>
      <c r="P63" s="47"/>
      <c r="Q63" s="47">
        <v>0</v>
      </c>
    </row>
    <row r="64" spans="1:17">
      <c r="A64" s="6" t="s">
        <v>177</v>
      </c>
      <c r="B64" s="6"/>
      <c r="C64" s="47">
        <v>8777142</v>
      </c>
      <c r="D64" s="47"/>
      <c r="E64" s="47">
        <v>31885242170</v>
      </c>
      <c r="F64" s="47"/>
      <c r="G64" s="47">
        <v>24301366957</v>
      </c>
      <c r="H64" s="47"/>
      <c r="I64" s="47">
        <v>7583875213</v>
      </c>
      <c r="J64" s="47"/>
      <c r="K64" s="47">
        <v>0</v>
      </c>
      <c r="L64" s="47"/>
      <c r="M64" s="47">
        <v>0</v>
      </c>
      <c r="N64" s="47"/>
      <c r="O64" s="47">
        <v>0</v>
      </c>
      <c r="P64" s="47"/>
      <c r="Q64" s="47">
        <v>0</v>
      </c>
    </row>
    <row r="65" spans="1:17">
      <c r="A65" s="6" t="s">
        <v>193</v>
      </c>
      <c r="B65" s="6"/>
      <c r="C65" s="47">
        <v>0</v>
      </c>
      <c r="D65" s="47"/>
      <c r="E65" s="47">
        <v>0</v>
      </c>
      <c r="F65" s="47"/>
      <c r="G65" s="47">
        <v>0</v>
      </c>
      <c r="H65" s="47"/>
      <c r="I65" s="47">
        <v>0</v>
      </c>
      <c r="J65" s="47"/>
      <c r="K65" s="47">
        <v>0</v>
      </c>
      <c r="L65" s="47"/>
      <c r="M65" s="47">
        <v>0</v>
      </c>
      <c r="N65" s="47"/>
      <c r="O65" s="47">
        <v>1</v>
      </c>
      <c r="P65" s="47"/>
      <c r="Q65" s="47">
        <v>-1</v>
      </c>
    </row>
    <row r="66" spans="1:17" ht="19.5" thickBot="1">
      <c r="A66" s="6"/>
      <c r="B66" s="6"/>
      <c r="C66" s="6"/>
      <c r="E66" s="49">
        <f>SUM(E8:E65)</f>
        <v>3930755969202</v>
      </c>
      <c r="F66" s="34"/>
      <c r="G66" s="49">
        <f>SUM(G8:G65)</f>
        <v>3477745917979</v>
      </c>
      <c r="H66" s="34"/>
      <c r="I66" s="49">
        <f>SUM(I8:I65)</f>
        <v>453010051223</v>
      </c>
      <c r="J66" s="47"/>
      <c r="K66" s="34"/>
      <c r="L66" s="34"/>
      <c r="M66" s="49">
        <f>SUM(M8:M65)</f>
        <v>3276703571739</v>
      </c>
      <c r="N66" s="34"/>
      <c r="O66" s="49">
        <f>SUM(O8:O65)</f>
        <v>2744089322074</v>
      </c>
      <c r="P66" s="34"/>
      <c r="Q66" s="49">
        <f>SUM(Q8:Q65)</f>
        <v>532614249665</v>
      </c>
    </row>
    <row r="67" spans="1:17" ht="19.5" thickTop="1"/>
    <row r="68" spans="1:17">
      <c r="Q68" s="47"/>
    </row>
    <row r="69" spans="1:17">
      <c r="I69" s="47"/>
      <c r="J69" s="47"/>
      <c r="K69" s="47"/>
      <c r="L69" s="47"/>
      <c r="M69" s="47"/>
      <c r="N69" s="47"/>
      <c r="O69" s="47"/>
      <c r="P69" s="47"/>
      <c r="Q69" s="47"/>
    </row>
    <row r="70" spans="1:17">
      <c r="I70" s="47"/>
      <c r="J70" s="47"/>
      <c r="K70" s="47"/>
      <c r="L70" s="47"/>
      <c r="M70" s="47"/>
      <c r="N70" s="47"/>
      <c r="O70" s="47"/>
      <c r="P70" s="47"/>
      <c r="Q70" s="47"/>
    </row>
    <row r="71" spans="1:17">
      <c r="Q71" s="47"/>
    </row>
    <row r="72" spans="1:17">
      <c r="Q72" s="47"/>
    </row>
  </sheetData>
  <mergeCells count="7">
    <mergeCell ref="A1:Q1"/>
    <mergeCell ref="A2:Q2"/>
    <mergeCell ref="A3:Q3"/>
    <mergeCell ref="A5:Q5"/>
    <mergeCell ref="A6:A7"/>
    <mergeCell ref="C6:I6"/>
    <mergeCell ref="K6:Q6"/>
  </mergeCells>
  <conditionalFormatting sqref="A8:A65">
    <cfRule type="duplicateValues" dxfId="0" priority="1"/>
  </conditionalFormatting>
  <pageMargins left="0.39" right="0.39" top="0.39" bottom="0.39" header="0" footer="0"/>
  <pageSetup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16</vt:i4>
      </vt:variant>
    </vt:vector>
  </HeadingPairs>
  <TitlesOfParts>
    <vt:vector size="33" baseType="lpstr">
      <vt:lpstr>صورت وضعیت پرتفوی</vt:lpstr>
      <vt:lpstr>سهام</vt:lpstr>
      <vt:lpstr>اوراق مشتقه</vt:lpstr>
      <vt:lpstr>اوراق</vt:lpstr>
      <vt:lpstr>سپرده</vt:lpstr>
      <vt:lpstr>درآمد</vt:lpstr>
      <vt:lpstr>درآمد سرمایه گذاری در سهام</vt:lpstr>
      <vt:lpstr>درآمد سرمایه گذاری در اوراق</vt:lpstr>
      <vt:lpstr>سود ترجیحی</vt:lpstr>
      <vt:lpstr>درآمد سپرده بانکی</vt:lpstr>
      <vt:lpstr>سایر درآمدها</vt:lpstr>
      <vt:lpstr>درآمد سود سهام</vt:lpstr>
      <vt:lpstr>سود اوراق بهادار</vt:lpstr>
      <vt:lpstr>سود سپرده بانکی</vt:lpstr>
      <vt:lpstr>درآمد ناشی از فروش</vt:lpstr>
      <vt:lpstr>درآمد  اختیار</vt:lpstr>
      <vt:lpstr>درآمد ناشی از تغییر قیمت اوراق</vt:lpstr>
      <vt:lpstr>اوراق!Print_Area</vt:lpstr>
      <vt:lpstr>'اوراق مشتقه'!Print_Area</vt:lpstr>
      <vt:lpstr>درآمد!Print_Area</vt:lpstr>
      <vt:lpstr>'درآمد  اختیار'!Print_Area</vt:lpstr>
      <vt:lpstr>'درآمد سپرده بانکی'!Print_Area</vt:lpstr>
      <vt:lpstr>'درآمد سرمایه گذاری در اوراق'!Print_Area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ترجیحی'!Print_Area</vt:lpstr>
      <vt:lpstr>'سود سپرده بانکی'!Print_Area</vt:lpstr>
      <vt:lpstr>سهام!Print_Area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Mohammad Nikomaram</dc:creator>
  <dc:description/>
  <cp:lastModifiedBy>Mohammad Nikomaram</cp:lastModifiedBy>
  <cp:lastPrinted>2025-12-27T14:20:13Z</cp:lastPrinted>
  <dcterms:created xsi:type="dcterms:W3CDTF">2025-11-23T06:16:00Z</dcterms:created>
  <dcterms:modified xsi:type="dcterms:W3CDTF">2026-08-29T11:34:31Z</dcterms:modified>
</cp:coreProperties>
</file>